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4520" windowHeight="14715" tabRatio="845" firstSheet="1" activeTab="55"/>
  </bookViews>
  <sheets>
    <sheet name="Sohr.list" sheetId="1" state="hidden" r:id="rId1"/>
    <sheet name="Rekapitulace" sheetId="2" r:id="rId2"/>
    <sheet name="Rekapitul" sheetId="3" state="hidden" r:id="rId3"/>
    <sheet name="Krycí list SO 01" sheetId="4" state="hidden" r:id="rId4"/>
    <sheet name="KL-SO 01-RA-DN 250" sheetId="5" state="hidden" r:id="rId5"/>
    <sheet name="REk-SO 01-RA-DN 250" sheetId="6" state="hidden" r:id="rId6"/>
    <sheet name="1" sheetId="7" r:id="rId7"/>
    <sheet name="KL-SO 01-RA-DN 300" sheetId="8" state="hidden" r:id="rId8"/>
    <sheet name="Rek-SO 01-RA-DN 300" sheetId="9" state="hidden" r:id="rId9"/>
    <sheet name="KL-SO 01-RA-DN 400" sheetId="10" state="hidden" r:id="rId10"/>
    <sheet name="Rek-SO 01-RA-DN 400" sheetId="11" state="hidden" r:id="rId11"/>
    <sheet name="2" sheetId="12" r:id="rId12"/>
    <sheet name="3" sheetId="13" r:id="rId13"/>
    <sheet name="KL-SO 01-RA-SKL DN 400" sheetId="14" state="hidden" r:id="rId14"/>
    <sheet name="Rek-SO 01-RA-SKL-DN 400" sheetId="15" state="hidden" r:id="rId15"/>
    <sheet name="4" sheetId="16" r:id="rId16"/>
    <sheet name="KL-SO 01-K1-DN 400" sheetId="17" state="hidden" r:id="rId17"/>
    <sheet name="Rek-SO 01-K1-DN 400" sheetId="18" state="hidden" r:id="rId18"/>
    <sheet name="5" sheetId="19" r:id="rId19"/>
    <sheet name="KL-SO 01-D1 B-DN 1200" sheetId="20" state="hidden" r:id="rId20"/>
    <sheet name="Rek-SO 01-D1 B-DN 1200" sheetId="21" state="hidden" r:id="rId21"/>
    <sheet name="6" sheetId="22" r:id="rId22"/>
    <sheet name="KL-SO 01 D1-SKL DN1200" sheetId="23" state="hidden" r:id="rId23"/>
    <sheet name="Rek-SO 01-D1 SKL DN 1200" sheetId="24" state="hidden" r:id="rId24"/>
    <sheet name="7" sheetId="25" r:id="rId25"/>
    <sheet name="KL-SO 01-V obj" sheetId="26" state="hidden" r:id="rId26"/>
    <sheet name="Rek-SO 01-V obj" sheetId="27" state="hidden" r:id="rId27"/>
    <sheet name="8" sheetId="28" r:id="rId28"/>
    <sheet name="KL SO 01-monitor" sheetId="29" state="hidden" r:id="rId29"/>
    <sheet name="Rek-SO 01-monitor" sheetId="30" state="hidden" r:id="rId30"/>
    <sheet name="KL-SO 01.1" sheetId="31" state="hidden" r:id="rId31"/>
    <sheet name="Rek-SO 01.1" sheetId="32" state="hidden" r:id="rId32"/>
    <sheet name="9" sheetId="33" r:id="rId33"/>
    <sheet name="KL-SO 02" sheetId="34" state="hidden" r:id="rId34"/>
    <sheet name="KL-SO 02-KP-RA DN150" sheetId="35" state="hidden" r:id="rId35"/>
    <sheet name="Rek-SO 02-KP-RA DN150" sheetId="36" state="hidden" r:id="rId36"/>
    <sheet name="10" sheetId="37" r:id="rId37"/>
    <sheet name="KL-SO 02-KP-RA DN 200" sheetId="38" state="hidden" r:id="rId38"/>
    <sheet name="Rek-SO 02-KP-RA DN200" sheetId="39" state="hidden" r:id="rId39"/>
    <sheet name="11" sheetId="40" r:id="rId40"/>
    <sheet name="KL-SO 02-KP-D1 DN150" sheetId="41" state="hidden" r:id="rId41"/>
    <sheet name="Rek-SO 02-KP-D1 DN150" sheetId="42" state="hidden" r:id="rId42"/>
    <sheet name="12" sheetId="43" r:id="rId43"/>
    <sheet name="KL-SO 03" sheetId="44" state="hidden" r:id="rId44"/>
    <sheet name="Rek-SO 03" sheetId="45" state="hidden" r:id="rId45"/>
    <sheet name="13" sheetId="46" r:id="rId46"/>
    <sheet name="KL-SO 04" sheetId="47" state="hidden" r:id="rId47"/>
    <sheet name="Rek-SO 04" sheetId="48" state="hidden" r:id="rId48"/>
    <sheet name="KL-SO 05" sheetId="49" state="hidden" r:id="rId49"/>
    <sheet name="Rek-SO 05" sheetId="50" state="hidden" r:id="rId50"/>
    <sheet name="KL-SO 06" sheetId="51" state="hidden" r:id="rId51"/>
    <sheet name="Rek-SO 06" sheetId="52" state="hidden" r:id="rId52"/>
    <sheet name="KL-SO 07" sheetId="53" state="hidden" r:id="rId53"/>
    <sheet name="Rek-SO 07" sheetId="54" state="hidden" r:id="rId54"/>
    <sheet name="14" sheetId="55" r:id="rId55"/>
    <sheet name="15" sheetId="5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ab" localSheetId="1">#REF!</definedName>
    <definedName name="ab">#REF!</definedName>
    <definedName name="BPK1" localSheetId="55">#REF!</definedName>
    <definedName name="BPK1" localSheetId="1">#REF!</definedName>
    <definedName name="BPK1">#REF!</definedName>
    <definedName name="BPK2" localSheetId="55">#REF!</definedName>
    <definedName name="BPK2" localSheetId="1">#REF!</definedName>
    <definedName name="BPK2">#REF!</definedName>
    <definedName name="BPK3" localSheetId="55">#REF!</definedName>
    <definedName name="BPK3" localSheetId="1">#REF!</definedName>
    <definedName name="BPK3">#REF!</definedName>
    <definedName name="cisloobjektu" localSheetId="55">'[17]Krycí list'!$A$4</definedName>
    <definedName name="cisloobjektu">'[18]Krycí list'!$A$4</definedName>
    <definedName name="cislostavby" localSheetId="55">'[17]Krycí list'!$A$6</definedName>
    <definedName name="cislostavby">'[18]Krycí list'!$A$6</definedName>
    <definedName name="Dodavka" localSheetId="55">'[19]Rekapitulace'!$G$8</definedName>
    <definedName name="Dodavka">'[20]Rekapitulace'!$G$8</definedName>
    <definedName name="Dodavka0" localSheetId="55">#REF!</definedName>
    <definedName name="Dodavka0" localSheetId="1">#REF!</definedName>
    <definedName name="Dodavka0">#REF!</definedName>
    <definedName name="HSV" localSheetId="55">'[19]Rekapitulace'!$E$8</definedName>
    <definedName name="HSV">'[20]Rekapitulace'!$E$8</definedName>
    <definedName name="HSV0" localSheetId="55">#REF!</definedName>
    <definedName name="HSV0" localSheetId="1">#REF!</definedName>
    <definedName name="HSV0">#REF!</definedName>
    <definedName name="HZS" localSheetId="55">'[19]Rekapitulace'!$I$8</definedName>
    <definedName name="HZS">'[20]Rekapitulace'!$I$8</definedName>
    <definedName name="HZS0" localSheetId="55">#REF!</definedName>
    <definedName name="HZS0" localSheetId="1">#REF!</definedName>
    <definedName name="HZS0">#REF!</definedName>
    <definedName name="marže_Gaus" localSheetId="55">#REF!</definedName>
    <definedName name="marže_Gaus">#REF!</definedName>
    <definedName name="Mont" localSheetId="55">'[19]Rekapitulace'!$H$8</definedName>
    <definedName name="Mont">'[20]Rekapitulace'!$H$8</definedName>
    <definedName name="Montaz0" localSheetId="55">#REF!</definedName>
    <definedName name="Montaz0" localSheetId="1">#REF!</definedName>
    <definedName name="Montaz0">#REF!</definedName>
    <definedName name="nazevobjektu" localSheetId="55">'[17]Krycí list'!$C$4</definedName>
    <definedName name="nazevobjektu">'[18]Krycí list'!$C$4</definedName>
    <definedName name="nazevstavby" localSheetId="55">'[17]Krycí list'!$C$6</definedName>
    <definedName name="nazevstavby">'[18]Krycí list'!$C$6</definedName>
    <definedName name="_xlnm.Print_Titles" localSheetId="6">'1'!$1:$12</definedName>
    <definedName name="_xlnm.Print_Titles" localSheetId="36">'10'!$1:$12</definedName>
    <definedName name="_xlnm.Print_Titles" localSheetId="39">'11'!$1:$12</definedName>
    <definedName name="_xlnm.Print_Titles" localSheetId="42">'12'!$1:$12</definedName>
    <definedName name="_xlnm.Print_Titles" localSheetId="45">'13'!$1:$12</definedName>
    <definedName name="_xlnm.Print_Titles" localSheetId="54">'14'!$1:$11</definedName>
    <definedName name="_xlnm.Print_Titles" localSheetId="55">'15'!$1:$8</definedName>
    <definedName name="_xlnm.Print_Titles" localSheetId="11">'2'!$1:$12</definedName>
    <definedName name="_xlnm.Print_Titles" localSheetId="12">'3'!$1:$12</definedName>
    <definedName name="_xlnm.Print_Titles" localSheetId="15">'4'!$1:$12</definedName>
    <definedName name="_xlnm.Print_Titles" localSheetId="18">'5'!$1:$12</definedName>
    <definedName name="_xlnm.Print_Titles" localSheetId="21">'6'!$1:$12</definedName>
    <definedName name="_xlnm.Print_Titles" localSheetId="24">'7'!$1:$12</definedName>
    <definedName name="_xlnm.Print_Titles" localSheetId="27">'8'!$1:$12</definedName>
    <definedName name="_xlnm.Print_Titles" localSheetId="32">'9'!$1:$12</definedName>
    <definedName name="_xlnm.Print_Area" localSheetId="6">'1'!$A$1:$M$62</definedName>
    <definedName name="_xlnm.Print_Area" localSheetId="36">'10'!$A$1:$M$70</definedName>
    <definedName name="_xlnm.Print_Area" localSheetId="39">'11'!$A$1:$M$69</definedName>
    <definedName name="_xlnm.Print_Area" localSheetId="42">'12'!$A$1:$M$64</definedName>
    <definedName name="_xlnm.Print_Area" localSheetId="45">'13'!$A$1:$M$102</definedName>
    <definedName name="_xlnm.Print_Area" localSheetId="54">'14'!$A$1:$M$87</definedName>
    <definedName name="_xlnm.Print_Area" localSheetId="55">'15'!$A$1:$L$83</definedName>
    <definedName name="_xlnm.Print_Area" localSheetId="11">'2'!$A$1:$M$80</definedName>
    <definedName name="_xlnm.Print_Area" localSheetId="12">'3'!$A$1:$M$94</definedName>
    <definedName name="_xlnm.Print_Area" localSheetId="15">'4'!$A$1:$M$26</definedName>
    <definedName name="_xlnm.Print_Area" localSheetId="18">'5'!$A$1:$M$67</definedName>
    <definedName name="_xlnm.Print_Area" localSheetId="21">'6'!$A$1:$M$74</definedName>
    <definedName name="_xlnm.Print_Area" localSheetId="24">'7'!$A$1:$M$78</definedName>
    <definedName name="_xlnm.Print_Area" localSheetId="27">'8'!$A$1:$M$51</definedName>
    <definedName name="_xlnm.Print_Area" localSheetId="32">'9'!$A$1:$M$80</definedName>
    <definedName name="PSV" localSheetId="55">'[19]Rekapitulace'!$F$8</definedName>
    <definedName name="PSV">'[20]Rekapitulace'!$F$8</definedName>
    <definedName name="PSV0" localSheetId="55">#REF!</definedName>
    <definedName name="PSV0" localSheetId="1">#REF!</definedName>
    <definedName name="PSV0">#REF!</definedName>
    <definedName name="SloupecCC" localSheetId="55">#REF!</definedName>
    <definedName name="SloupecCisloPol" localSheetId="55">#REF!</definedName>
    <definedName name="SloupecCH" localSheetId="55">#REF!</definedName>
    <definedName name="SloupecJC" localSheetId="55">#REF!</definedName>
    <definedName name="SloupecJH" localSheetId="55">#REF!</definedName>
    <definedName name="SloupecMJ" localSheetId="55">#REF!</definedName>
    <definedName name="SloupecMnozstvi" localSheetId="55">#REF!</definedName>
    <definedName name="SloupecNazPol" localSheetId="55">#REF!</definedName>
    <definedName name="SloupecPC" localSheetId="55">#REF!</definedName>
    <definedName name="Služby" localSheetId="55">#REF!</definedName>
    <definedName name="Služby">#REF!</definedName>
    <definedName name="Strojní" localSheetId="55">#REF!</definedName>
    <definedName name="Strojní">#REF!</definedName>
    <definedName name="Subdodávky" localSheetId="55">#REF!</definedName>
    <definedName name="Subdodávky">#REF!</definedName>
    <definedName name="Typ" localSheetId="55">#REF!</definedName>
    <definedName name="Typ" localSheetId="1">#REF!</definedName>
    <definedName name="Typ">#REF!</definedName>
    <definedName name="VRN" localSheetId="55">'[19]Rekapitulace'!$H$21</definedName>
    <definedName name="VRN">'[20]Rekapitulace'!$H$21</definedName>
    <definedName name="VRNKc" localSheetId="55">'[25]Rekapitulace'!#REF!</definedName>
    <definedName name="VRNKc" localSheetId="1">'[24]Rekapitulace'!#REF!</definedName>
    <definedName name="VRNKc">'[24]Rekapitulace'!#REF!</definedName>
    <definedName name="VRNnazev" localSheetId="55">'[25]Rekapitulace'!#REF!</definedName>
    <definedName name="VRNnazev" localSheetId="1">'[24]Rekapitulace'!#REF!</definedName>
    <definedName name="VRNnazev">'[24]Rekapitulace'!#REF!</definedName>
    <definedName name="VRNproc" localSheetId="55">'[25]Rekapitulace'!#REF!</definedName>
    <definedName name="VRNproc" localSheetId="1">'[24]Rekapitulace'!#REF!</definedName>
    <definedName name="VRNproc">'[24]Rekapitulace'!#REF!</definedName>
    <definedName name="VRNzakl" localSheetId="55">'[25]Rekapitulace'!#REF!</definedName>
    <definedName name="VRNzakl" localSheetId="1">'[24]Rekapitulace'!#REF!</definedName>
    <definedName name="VRNzakl">'[24]Rekapitulace'!#REF!</definedName>
  </definedNames>
  <calcPr fullCalcOnLoad="1"/>
</workbook>
</file>

<file path=xl/sharedStrings.xml><?xml version="1.0" encoding="utf-8"?>
<sst xmlns="http://schemas.openxmlformats.org/spreadsheetml/2006/main" count="6697" uniqueCount="1025">
  <si>
    <t>Souhrnný rozpočet stavby</t>
  </si>
  <si>
    <t>Název stavby:</t>
  </si>
  <si>
    <t>Propojení kanalizace Nová Bělá - Hrabová</t>
  </si>
  <si>
    <t>Místo:</t>
  </si>
  <si>
    <t>Zpracoval:</t>
  </si>
  <si>
    <t>Dne:</t>
  </si>
  <si>
    <t>27.8.2009</t>
  </si>
  <si>
    <t>Cena celkem bez DPH</t>
  </si>
  <si>
    <t>DPH</t>
  </si>
  <si>
    <t>%</t>
  </si>
  <si>
    <t>Cena celkem s DPH</t>
  </si>
  <si>
    <t>Objednatel:</t>
  </si>
  <si>
    <t>Zhotovitel:</t>
  </si>
  <si>
    <t>Projektant:</t>
  </si>
  <si>
    <t>IČO</t>
  </si>
  <si>
    <t>DIČ</t>
  </si>
  <si>
    <t>Razítko a podpis</t>
  </si>
  <si>
    <t>Rekapitulace nákladů dle hlav v</t>
  </si>
  <si>
    <t>CZK</t>
  </si>
  <si>
    <t xml:space="preserve">                  Náklady na</t>
  </si>
  <si>
    <t>Náklady investiční výstavby</t>
  </si>
  <si>
    <t>Náklady z</t>
  </si>
  <si>
    <t>Celkové</t>
  </si>
  <si>
    <t>stavební část</t>
  </si>
  <si>
    <t>technolog. část</t>
  </si>
  <si>
    <t>celkem</t>
  </si>
  <si>
    <t>inv. prostředí</t>
  </si>
  <si>
    <t>náklady</t>
  </si>
  <si>
    <t>Rekapitulace nákladů stavby</t>
  </si>
  <si>
    <t xml:space="preserve">  A. Projektové a průzkumné práce</t>
  </si>
  <si>
    <t xml:space="preserve">    Projektové práce z rozpočtu</t>
  </si>
  <si>
    <t xml:space="preserve">    Průzkumné práce z rozpočtu</t>
  </si>
  <si>
    <t xml:space="preserve">    Projektové práce</t>
  </si>
  <si>
    <t xml:space="preserve">    Průzkumné práce</t>
  </si>
  <si>
    <t xml:space="preserve">  B. Provozní soubory</t>
  </si>
  <si>
    <t xml:space="preserve">    PS-montáž z rozpočtu</t>
  </si>
  <si>
    <t xml:space="preserve">    PS-dodávka z rozpočtu</t>
  </si>
  <si>
    <t xml:space="preserve">  C. Stavební objekty</t>
  </si>
  <si>
    <t xml:space="preserve">    ZRN</t>
  </si>
  <si>
    <t xml:space="preserve">      HSV-montáž z rozpočtu</t>
  </si>
  <si>
    <t xml:space="preserve">      HSV-dodávka z rozpočtu</t>
  </si>
  <si>
    <t xml:space="preserve">      PSV-montáž z rozpočtu</t>
  </si>
  <si>
    <t xml:space="preserve">      PSV-dodávka z rozpočtu</t>
  </si>
  <si>
    <t xml:space="preserve">      M-montáž z rozpočtu</t>
  </si>
  <si>
    <t xml:space="preserve">      M-nosný materiál z rozpočtu</t>
  </si>
  <si>
    <t xml:space="preserve">      M-dodávka z rozpočtu</t>
  </si>
  <si>
    <t xml:space="preserve">    HZS z rozpočtu</t>
  </si>
  <si>
    <t xml:space="preserve">  D. Stroje, zařízení, inventář</t>
  </si>
  <si>
    <t xml:space="preserve">    Stroje a zařízení z rozpočtu</t>
  </si>
  <si>
    <t xml:space="preserve">    Stroje, zařízení, inventář</t>
  </si>
  <si>
    <t xml:space="preserve">  E. Umělecká díla</t>
  </si>
  <si>
    <t xml:space="preserve">    Umělecká díla z rozpočtu</t>
  </si>
  <si>
    <t xml:space="preserve">    Umělecká díla</t>
  </si>
  <si>
    <t xml:space="preserve">  F. Vedlejší náklady</t>
  </si>
  <si>
    <t xml:space="preserve">    NUS z rozpočtu</t>
  </si>
  <si>
    <t xml:space="preserve">    Vedlejší náklady z rozpočtu</t>
  </si>
  <si>
    <t xml:space="preserve">    Vedlejší náklady</t>
  </si>
  <si>
    <t xml:space="preserve">  G. Ostatní náklady</t>
  </si>
  <si>
    <t xml:space="preserve">    Ostatní náklady z rozpočtu</t>
  </si>
  <si>
    <t xml:space="preserve">    Dodá zadavatel z rozpočtu</t>
  </si>
  <si>
    <t xml:space="preserve">    Ostatní náklady</t>
  </si>
  <si>
    <t xml:space="preserve">  H. Rezerva</t>
  </si>
  <si>
    <t xml:space="preserve">  I. Ostatní investice</t>
  </si>
  <si>
    <t xml:space="preserve">  J. Nehmotný investiční majetek</t>
  </si>
  <si>
    <t xml:space="preserve">    NIM z rozpočtu</t>
  </si>
  <si>
    <t xml:space="preserve">    Nehmotný investiční majetek</t>
  </si>
  <si>
    <t xml:space="preserve">  K. Provozní náklady</t>
  </si>
  <si>
    <t xml:space="preserve">    Provozní náklady z rozpočtu</t>
  </si>
  <si>
    <t xml:space="preserve">    Provozní náklady</t>
  </si>
  <si>
    <t xml:space="preserve">  L. Kompletační činnost</t>
  </si>
  <si>
    <t xml:space="preserve">    Kompletační činnost z krycího listu rozpočtu</t>
  </si>
  <si>
    <t>Rekapitulace objektů stavby</t>
  </si>
  <si>
    <t>Stavba:</t>
  </si>
  <si>
    <t>Datum:</t>
  </si>
  <si>
    <t>31.3.2010</t>
  </si>
  <si>
    <t>Kód</t>
  </si>
  <si>
    <t>Zakázka</t>
  </si>
  <si>
    <t>Cena bez DPH</t>
  </si>
  <si>
    <t>DPH snížené</t>
  </si>
  <si>
    <t>DPH základní</t>
  </si>
  <si>
    <t>Cena s DPH</t>
  </si>
  <si>
    <t>ZRN</t>
  </si>
  <si>
    <t>NUS</t>
  </si>
  <si>
    <t>0743</t>
  </si>
  <si>
    <t>SO001</t>
  </si>
  <si>
    <t xml:space="preserve">    SO 01 Stoka RA</t>
  </si>
  <si>
    <t>001</t>
  </si>
  <si>
    <t xml:space="preserve">        SO 01 Stoka RA DN 250</t>
  </si>
  <si>
    <t>002</t>
  </si>
  <si>
    <t xml:space="preserve">        SO 01 Stoka RA DN 300</t>
  </si>
  <si>
    <t>003</t>
  </si>
  <si>
    <t xml:space="preserve">        SO 01 Stoka RA DN 400</t>
  </si>
  <si>
    <t>004</t>
  </si>
  <si>
    <t xml:space="preserve">        SO 01 Stoka RA SKL DN 400</t>
  </si>
  <si>
    <t>005</t>
  </si>
  <si>
    <t xml:space="preserve">        SO 01 Stoka K1 DN 400</t>
  </si>
  <si>
    <t>006</t>
  </si>
  <si>
    <t xml:space="preserve">        SO 01 Stoka D1 B DN 1200</t>
  </si>
  <si>
    <t>007</t>
  </si>
  <si>
    <t xml:space="preserve">        SO 01 Stoka D1 SKL DN 1200</t>
  </si>
  <si>
    <t>008</t>
  </si>
  <si>
    <t xml:space="preserve">        SO 01 Stoka RA - úprava výustního objektu</t>
  </si>
  <si>
    <t>009</t>
  </si>
  <si>
    <t xml:space="preserve">        SO 01 Stoka RA - monitoring objektů</t>
  </si>
  <si>
    <t>SO002</t>
  </si>
  <si>
    <t xml:space="preserve">    SO 01.1 Stoka RA - protlak pod ul. Místecká</t>
  </si>
  <si>
    <t>SO003</t>
  </si>
  <si>
    <t xml:space="preserve">    SO 02 Kanalizační přípojky</t>
  </si>
  <si>
    <t>201</t>
  </si>
  <si>
    <t xml:space="preserve">        SO 02 Kanalizační přípojky DN 150 - stoka RA</t>
  </si>
  <si>
    <t>202</t>
  </si>
  <si>
    <t xml:space="preserve">        SO 02 Kanalizační přípojky DN 200 - stoka RA</t>
  </si>
  <si>
    <t>203</t>
  </si>
  <si>
    <t xml:space="preserve">        SO 02 Kanalizační přípojky DN 150 - stoka D1</t>
  </si>
  <si>
    <t>SO004</t>
  </si>
  <si>
    <t xml:space="preserve">    SO 03 Odlehčovací komora</t>
  </si>
  <si>
    <t>SO005</t>
  </si>
  <si>
    <t xml:space="preserve">    SO 04 Přeložka NN</t>
  </si>
  <si>
    <t>SO006</t>
  </si>
  <si>
    <t xml:space="preserve">    S0 05 Přeložka VO</t>
  </si>
  <si>
    <t>SO007</t>
  </si>
  <si>
    <t xml:space="preserve">    SO 06 Přeložka slaboproudu</t>
  </si>
  <si>
    <t>SO008</t>
  </si>
  <si>
    <t xml:space="preserve">    SO 07 Přeložka vodovodu</t>
  </si>
  <si>
    <t>Celkem</t>
  </si>
  <si>
    <t>KRYCÍ LIST ROZPOČTU</t>
  </si>
  <si>
    <t>Název stavby</t>
  </si>
  <si>
    <t>JKSO</t>
  </si>
  <si>
    <t>Název objektu</t>
  </si>
  <si>
    <t>SO 01 Stoka RA</t>
  </si>
  <si>
    <t>EČO</t>
  </si>
  <si>
    <t>Název části</t>
  </si>
  <si>
    <t>Místo</t>
  </si>
  <si>
    <t>Objednatel</t>
  </si>
  <si>
    <t>Projektant</t>
  </si>
  <si>
    <t>Zhotovitel</t>
  </si>
  <si>
    <t>Rozpočet číslo</t>
  </si>
  <si>
    <t>Zpracoval</t>
  </si>
  <si>
    <t>Dne</t>
  </si>
  <si>
    <t>27.08.2009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</si>
  <si>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</si>
  <si>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</si>
  <si>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</si>
  <si>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</si>
  <si>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</si>
  <si>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</si>
  <si>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</si>
  <si>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</si>
  <si>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</si>
  <si>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</si>
  <si>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</si>
  <si>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</si>
  <si>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</si>
  <si>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</si>
  <si>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</si>
  <si>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</si>
  <si>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</si>
  <si>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</si>
  <si>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</si>
  <si>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</si>
  <si>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</si>
  <si>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</si>
  <si>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</si>
  <si>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</si>
  <si>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</si>
  <si>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</si>
  <si>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</si>
  <si>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</si>
  <si>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</si>
  <si>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</si>
  <si>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</si>
  <si>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</si>
  <si>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</si>
  <si>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</si>
  <si>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</si>
  <si>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</si>
  <si>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</si>
  <si>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</si>
  <si>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</si>
  <si>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</si>
  <si>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</si>
  <si>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</si>
  <si>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</si>
  <si>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</si>
  <si>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</si>
  <si>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</si>
  <si>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</si>
  <si>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</si>
  <si>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</si>
  <si>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</si>
  <si>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</si>
  <si>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</si>
  <si>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</si>
  <si>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</si>
  <si>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</si>
  <si>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</si>
  <si>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</si>
  <si>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</si>
  <si>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</si>
  <si>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</si>
  <si>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</si>
  <si>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</si>
  <si>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</si>
  <si>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</si>
  <si>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</si>
  <si>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</si>
  <si>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</si>
  <si>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</si>
  <si>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</si>
  <si>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</si>
  <si>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</si>
  <si>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</si>
  <si>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</si>
  <si>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</si>
  <si>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</si>
  <si>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 </t>
  </si>
  <si>
    <t>Kód stavby</t>
  </si>
  <si>
    <t>Kód objektu</t>
  </si>
  <si>
    <t>SO 01 Stoka RA DN 250</t>
  </si>
  <si>
    <t>Kód části</t>
  </si>
  <si>
    <t>Název podčásti</t>
  </si>
  <si>
    <t>Kód podčásti</t>
  </si>
  <si>
    <t xml:space="preserve">               Měrné a účelové jednotky</t>
  </si>
  <si>
    <t xml:space="preserve">               Rozpočtové náklady v</t>
  </si>
  <si>
    <t>REKAPITULACE ROZPOČTU</t>
  </si>
  <si>
    <t>Objekt:</t>
  </si>
  <si>
    <t>Část:</t>
  </si>
  <si>
    <t xml:space="preserve">JKSO: </t>
  </si>
  <si>
    <t>Popis</t>
  </si>
  <si>
    <t>Cena celkem</t>
  </si>
  <si>
    <t>Hmotnost celkem</t>
  </si>
  <si>
    <t>Suť celkem</t>
  </si>
  <si>
    <t>JKSO:</t>
  </si>
  <si>
    <t>P.Č.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</si>
  <si>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</si>
  <si>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</si>
  <si>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</si>
  <si>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</si>
  <si>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</si>
  <si>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</si>
  <si>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</si>
  <si>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</si>
  <si>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</si>
  <si>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</si>
  <si>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</si>
  <si>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Zemní práce</t>
  </si>
  <si>
    <t>Odstranění podkladu pl přes 200 m2 z kameniva drceného tl 200 mm</t>
  </si>
  <si>
    <t>m2</t>
  </si>
  <si>
    <t>Odstranění podkladu pl přes 200 m2 z kameniva drceného tl 400 mm</t>
  </si>
  <si>
    <t>Odstranění podkladu pl přes 200 m2 živičných tl 100 mm</t>
  </si>
  <si>
    <t>Odstranění živičného krytu frézováním pl přes 500 m2 tl 50 mm bez překážek v trase</t>
  </si>
  <si>
    <t>Čerpání vody na dopravní výšku do 10 m průměrný přítok do 1000 l/min</t>
  </si>
  <si>
    <t>hod</t>
  </si>
  <si>
    <t>Pohotovost čerpací soupravy pro dopravní výšku do 10 m přítok do 1000 l/min</t>
  </si>
  <si>
    <t>den</t>
  </si>
  <si>
    <t>Dočasné zajištění potrubí ocelového nebo litinového DN do 200</t>
  </si>
  <si>
    <t>m</t>
  </si>
  <si>
    <t>Hloubení rýh š do 2000 mm v hornině tř. 3 objemu do 5000 m3</t>
  </si>
  <si>
    <t>m3</t>
  </si>
  <si>
    <t>Příplatek za lepivost k hloubení rýh š do 2000 mm v hornině tř. 3</t>
  </si>
  <si>
    <t>Zřízení zátažného pažení a rozepření stěn rýh hl do 4 m</t>
  </si>
  <si>
    <t>Odstranění zátažného pažení a rozepření stěn rýh hl do 4 m</t>
  </si>
  <si>
    <t>Svislé přemístění výkopku z horniny tř. 1 až 4 hl výkopu do 4 m</t>
  </si>
  <si>
    <t>Poplatek za skládku přebytečné zeminy vč.analýz rozboru o uložení odpadu na skládku</t>
  </si>
  <si>
    <t>Vodorovné přemístění do 10000 m výkopku z horniny tř. 1 až 4</t>
  </si>
  <si>
    <t>Zásyp jam, šachet rýh nebo kolem objektů sypaninou se zhutněním</t>
  </si>
  <si>
    <t>M</t>
  </si>
  <si>
    <t xml:space="preserve">kamenivo struskové pro stavební účely </t>
  </si>
  <si>
    <t>t</t>
  </si>
  <si>
    <t>Obsyp potrubí bez prohození sypaniny z hornin tř. 1 až 4 uloženým do 3 m od kraje výkopu</t>
  </si>
  <si>
    <t xml:space="preserve">kamenivo těžené </t>
  </si>
  <si>
    <t>Zakládání</t>
  </si>
  <si>
    <t>Trativod z drenážních trubek pálených DN do 100 včetně lože otevřený výkop</t>
  </si>
  <si>
    <t>Provizorní čerpqcí studna</t>
  </si>
  <si>
    <t>ks</t>
  </si>
  <si>
    <t>Vodorovné konstrukce</t>
  </si>
  <si>
    <t>Podkladní desky z betonu prostého tř. C 8/10 otevřený výkop</t>
  </si>
  <si>
    <t>Sedlové lože z betonu prostého tř. C 12/15 otevřený výkop</t>
  </si>
  <si>
    <t>Bednění podkladních desek nebo bloků nebo sedlového lože otevřený výkop</t>
  </si>
  <si>
    <t>Komunikace</t>
  </si>
  <si>
    <t>Podklad ze štěrkodrtě ŠD tl 180 mm</t>
  </si>
  <si>
    <t>Asfaltový beton vrstva podkladní ACP 16 (obalované kamenivo OKS) tl 100 mm š do 3 m</t>
  </si>
  <si>
    <t>Asfaltový beton vrstva obrusná ACO 11 (ABS) tř. I tl 50 mm š do 3 m z nemodifikovaného asfaltu</t>
  </si>
  <si>
    <t>Asfaltový beton vrstva ložní ACL 22 (ABVH) tl 50 mm š do 3 m z nemodifikovaného asfaltu</t>
  </si>
  <si>
    <t>Vyplnění spár mezi silničními dílci živičnou zálivkou</t>
  </si>
  <si>
    <t>Trubní vedení</t>
  </si>
  <si>
    <t>Prohlídka televízní kamerou vč.záznamu</t>
  </si>
  <si>
    <t>30</t>
  </si>
  <si>
    <t>Montáž potrubí z trub kameninových hrdlových s integrovaným těsněním výkop sklon do 20 % DN 250</t>
  </si>
  <si>
    <t>31</t>
  </si>
  <si>
    <t>trouba kameninová glazovaná DN250mm L2,50m spojovací systém C Třída 240</t>
  </si>
  <si>
    <t>Ostatní konstrukce a práce-bourání</t>
  </si>
  <si>
    <t>32</t>
  </si>
  <si>
    <t>Řezání stávajícího živičného krytu hl do 100 mm</t>
  </si>
  <si>
    <t>33</t>
  </si>
  <si>
    <t>Vodorovná doprava suti po suchu do 1 km</t>
  </si>
  <si>
    <t>34</t>
  </si>
  <si>
    <t>Příplatek ZKD 1 km u vodorovné dopravy suti po suchu do 1 km</t>
  </si>
  <si>
    <t>35</t>
  </si>
  <si>
    <t>Poplatek za řízenou skládku vč. analýz rozboru o uložení odpadu na skládku</t>
  </si>
  <si>
    <t>99</t>
  </si>
  <si>
    <t>Přesun hmot</t>
  </si>
  <si>
    <t>36</t>
  </si>
  <si>
    <t>Přesun hmot pro trubní vedení z trub otevřený výkop - štěrkové materiály</t>
  </si>
  <si>
    <t>Práce a dodávky M</t>
  </si>
  <si>
    <t>23-M</t>
  </si>
  <si>
    <t>Montáže potrubí</t>
  </si>
  <si>
    <t>37</t>
  </si>
  <si>
    <t>Tlakové zkoušky těsnosti potrubí - příprava DN do 350</t>
  </si>
  <si>
    <t>sada</t>
  </si>
  <si>
    <t>38</t>
  </si>
  <si>
    <t>SO 01 Stoka RA DN 300</t>
  </si>
  <si>
    <t>Dočasné zajištění potrubí betonového, ŽB, kameninového nebo vláknocementového DN do 500</t>
  </si>
  <si>
    <t>Dočasné zajištění kabelů a kabelových tratí ze 3 volně ložených kabelů</t>
  </si>
  <si>
    <t>Montáž potrubí z trub kameninových hrdlových s integrovaným těsněním výkop sklon do 20 % DN 300</t>
  </si>
  <si>
    <t xml:space="preserve">trouba kameninová glazovaná DN300mm L2,50m </t>
  </si>
  <si>
    <t>Montáž kameninových tvarovek jednoosých s integrovaným těsněním otevřený výkop DN 150</t>
  </si>
  <si>
    <t>kus</t>
  </si>
  <si>
    <t>ucpávka kameninová glazovaná DN150mm spojovací systém F</t>
  </si>
  <si>
    <t>Montáž kameninových tvarovek jednoosých s integrovaným těsněním otevřený výkop DN 200</t>
  </si>
  <si>
    <t>ucpávka kameninová glazovaná DN200mm spojovací systém F</t>
  </si>
  <si>
    <t>Montáž kameninových tvarovek odbočných s integrovaným těsněním otevřený výkop DN 300</t>
  </si>
  <si>
    <t>39</t>
  </si>
  <si>
    <t>odbočka kameninová glazovaná jednoduchá kolmá DN300/150 L50cm spojovací systém C/F tř.160/-</t>
  </si>
  <si>
    <t>40</t>
  </si>
  <si>
    <t>odbočka kameninová glazovaná jednoduchá kolmá DN300/200 L60cm spojovací systém F/F tř.160/160</t>
  </si>
  <si>
    <t>41</t>
  </si>
  <si>
    <t>Vstupní šachta kanalizační,prefabrikovaná,vn.pr. 1m tl.stěny 120 mm,žlab a nástupnice v prov.kamenina(dno potrubí do hl. 3m)</t>
  </si>
  <si>
    <t>42</t>
  </si>
  <si>
    <t>Vstupní šachta kanalizační,prefabrikovaná,vn.pr. 1m tl.stěny 120 mm,žlab a nástupnice v prov.kamenina(dno potrubí do hl. 4 m)</t>
  </si>
  <si>
    <t>43</t>
  </si>
  <si>
    <t>Spádiště vnitř.průměr 1 m tl,stěny 120 mm, dno a nárazová stěna v prov. čedič.segmenty (dno potrubí do 5 m) obtokové potrubí vč. obetonování</t>
  </si>
  <si>
    <t>44</t>
  </si>
  <si>
    <t>Osazení poklopů litinových nebo ocelových včetně rámů hmotnosti nad 100 do 150 kg</t>
  </si>
  <si>
    <t>45</t>
  </si>
  <si>
    <t xml:space="preserve">Poklop BEGU D400 </t>
  </si>
  <si>
    <t>46</t>
  </si>
  <si>
    <t>Obetonování potrubí nebo zdiva stok betonem prostým tř. C 8/10 otevřený výkop</t>
  </si>
  <si>
    <t>47</t>
  </si>
  <si>
    <t>Bednění pro obetonování potrubí otevřený výkop</t>
  </si>
  <si>
    <t>48</t>
  </si>
  <si>
    <t>Povrchová ochrana vnějšího pláště šachty (nátěr krystalonem na zlepšení vlastnosti betonu)</t>
  </si>
  <si>
    <t>kpl</t>
  </si>
  <si>
    <t>49</t>
  </si>
  <si>
    <t>50</t>
  </si>
  <si>
    <t>51</t>
  </si>
  <si>
    <t>52</t>
  </si>
  <si>
    <t>53</t>
  </si>
  <si>
    <t>54</t>
  </si>
  <si>
    <t>55</t>
  </si>
  <si>
    <t>SO 01 Stoka RA DN 400</t>
  </si>
  <si>
    <t>Sejmutí ornice s přemístěním na vzdálenost do 50 m</t>
  </si>
  <si>
    <t>Hloubení rýh š do 2000 mm v hornině tř. 3 objemu přes 5000 m3</t>
  </si>
  <si>
    <t xml:space="preserve">Uložení sypaniny z hornin soudržných do násypů zhutněných </t>
  </si>
  <si>
    <t>Rozprostření ornice pl do 500 m2 v rovině nebo ve svahu do 1:5 tl vrstvy do 200 mm</t>
  </si>
  <si>
    <t>Výsev trávníku hydroosevem na ornici</t>
  </si>
  <si>
    <t>osivo směs travní krajinná - technická</t>
  </si>
  <si>
    <t>kg</t>
  </si>
  <si>
    <t>1-1</t>
  </si>
  <si>
    <t>Protlak</t>
  </si>
  <si>
    <t>Bezvýkopová technologie z ocelových trub protláčením do 100 m nad 720 do 820 mm</t>
  </si>
  <si>
    <t>trubka ocelová podélně svařovaná hladká 11375.1 D813 tl 8 mm</t>
  </si>
  <si>
    <t>Zajištění jámy,vč. vystrojení,zčerpávání vody po dobu výstavby</t>
  </si>
  <si>
    <t>Výplň mezikruží cementopopílkovou suspenzí</t>
  </si>
  <si>
    <t>Fixace potrubí v mezikruží,utěsnění konců</t>
  </si>
  <si>
    <t>úsek</t>
  </si>
  <si>
    <t>Křížení koryta překopem vč.opevnění</t>
  </si>
  <si>
    <t>Montáž potrubí z trub kameninových hrdlových s integrovaným těsněním výkop sklon do 20 % DN 400</t>
  </si>
  <si>
    <t xml:space="preserve">trouba kameninová glazovaná DN400mm L2,50m </t>
  </si>
  <si>
    <t>Montáž kameninových tvarovek odbočných s integrovaným těsněním otevřený výkop DN 400</t>
  </si>
  <si>
    <t>odbočka kameninová glazovaná jednoduchá kolmá DN400/150 L100cm spojovací systém C/F tř.160/-</t>
  </si>
  <si>
    <t>Vstupní šachta kanalizační,prefabrikovaná,vn.pr. 1m tl.stěny 120 mm,žlab a nástupnice v prov.kamenina(dno potrubí do hl. 2m)</t>
  </si>
  <si>
    <t>56</t>
  </si>
  <si>
    <t>57</t>
  </si>
  <si>
    <t>58</t>
  </si>
  <si>
    <t>Vstupní šachta kanalizační,prefabrikovaná,vn.pr. 1m tl.stěny 120 mm,žlab a nástupnice v prov.kamenina(dno potrubí do hl. 5 m)</t>
  </si>
  <si>
    <t>59</t>
  </si>
  <si>
    <t>60</t>
  </si>
  <si>
    <t>61</t>
  </si>
  <si>
    <t>Poklop B125</t>
  </si>
  <si>
    <t>62</t>
  </si>
  <si>
    <t>63</t>
  </si>
  <si>
    <t>Obetonování potrubí nebo zdiva stok betonem prostým tř. C 16/20 otevřený výkop</t>
  </si>
  <si>
    <t>64</t>
  </si>
  <si>
    <t>65</t>
  </si>
  <si>
    <t>Napojení na stávající kanalizaci</t>
  </si>
  <si>
    <t>66</t>
  </si>
  <si>
    <t>67</t>
  </si>
  <si>
    <t>Demontáž a zpětná montáž dřevěné ohrady</t>
  </si>
  <si>
    <t>68</t>
  </si>
  <si>
    <t>Odvodňovací hydrogeologický vrt s požnici DN 200 - komplet</t>
  </si>
  <si>
    <t>69</t>
  </si>
  <si>
    <t>Úprava kanalizační šachty v extrvilánu</t>
  </si>
  <si>
    <t>70</t>
  </si>
  <si>
    <t>71</t>
  </si>
  <si>
    <t>72</t>
  </si>
  <si>
    <t>Tlakové zkoušky těsnosti potrubí - příprava DN do 500</t>
  </si>
  <si>
    <t>SO 01 Stoka RA SKL DN 400</t>
  </si>
  <si>
    <t>Montáž kanalizačního potrubí z laminátových trub DN 400 se spojkami v otevřeném výkopu</t>
  </si>
  <si>
    <t>SO 01 Stoka K1 DN 400</t>
  </si>
  <si>
    <t>SO 01 Stoka D1 B DN 1200</t>
  </si>
  <si>
    <t>Provizorní čerpací studna</t>
  </si>
  <si>
    <t>Montáž potrubí z trub TZR těsněných pryžovými kroužky otevřený výkop sklon do 20 % DN 1200</t>
  </si>
  <si>
    <t>trouba železobetonová hrdlová přímá s čedičovou vystýl. OC 180° TZH-Q 1200/2500 D 100 x 250 x 13 cm</t>
  </si>
  <si>
    <t>Příplatek za zřízení kanalizační přípojky DN 100 až 300</t>
  </si>
  <si>
    <t>Montáž potrubí z trub kameninových hrdlových s integrovaným těsněním výkop sklon do 20 % DN 200</t>
  </si>
  <si>
    <t>trouba kameninová glazovaná DN200mm L1,50m spojovací systém F</t>
  </si>
  <si>
    <t>Vstupní šachta kanalizační,prefabrikovaná,čtvercová 1800x1800 mm,žlab a nástupnice v prov.kamenina(dno potrubí do hl. 3 m)</t>
  </si>
  <si>
    <t>Napojení přípojky da šachty DN 1000</t>
  </si>
  <si>
    <t>Tlakové zkoušky těsnosti potrubí - příprava DN do 200</t>
  </si>
  <si>
    <t>Tlakové zkoušky těsnosti potrubí - příprava DN do 1200</t>
  </si>
  <si>
    <t>Tlakové zkoušky těsnosti potrubí - zkouška DN do 200</t>
  </si>
  <si>
    <t>SO 01 Stoka D1 SKL DN 1200</t>
  </si>
  <si>
    <t>Svislé a kompletní konstrukce</t>
  </si>
  <si>
    <t>Bourání stoky z betonových rour vč.odvozu a likvidace</t>
  </si>
  <si>
    <t>Sedlové lože z betonu popílkocementového</t>
  </si>
  <si>
    <t>Montáž potrubí z trub kameninových hrdlových s integrovaným těsněním výkop sklon do 20 % DN 150</t>
  </si>
  <si>
    <t>trouba kameninová glazovaná DN150mm L1,50m spojovací systém F</t>
  </si>
  <si>
    <t>Montáž kanalizačního potrubí z laminátových trub DN 1200 se spojkami v otevřeném výkopu</t>
  </si>
  <si>
    <t>roury z odstředivě litého laminátu SKLL PN 6 SN 10000 DN 1200 DA 1229 spojka FWC</t>
  </si>
  <si>
    <t>Sedlová odbočka SKLL 1200/150</t>
  </si>
  <si>
    <t>Zřízení vpusti kanalizační uliční z betonových dílců vč.dodávky</t>
  </si>
  <si>
    <t>SO 01 Stoka RA - úprava výustního objektu</t>
  </si>
  <si>
    <t>29.08.2009</t>
  </si>
  <si>
    <t>Převedení vody potrubím DN do 900</t>
  </si>
  <si>
    <t>Pohotovost čerpací soupravy na dopravní výšku do 10 m průměrný přítok do 1000 l/min</t>
  </si>
  <si>
    <t>d</t>
  </si>
  <si>
    <t>Bourání zdiva z betonu prostého neprokládaného</t>
  </si>
  <si>
    <t>Bourání zdiva kamenného na sucho</t>
  </si>
  <si>
    <t>Vykopávky do 1000 m3 pro koryta vodotečí v hornině tř. 3</t>
  </si>
  <si>
    <t>Příplatek k vykopávkám pro koryta vodotečí v hornině tř. 3 za lepivost</t>
  </si>
  <si>
    <t>Poplatek za skládku přebytečné zeminy vč. analýz rozboru o uložení odpadu na skládku</t>
  </si>
  <si>
    <t>Základové klenby z betonu tř. C 12/15</t>
  </si>
  <si>
    <t>Zřízení bednění stěn základových kleneb</t>
  </si>
  <si>
    <t>Odstranění bednění stěn základových kleneb</t>
  </si>
  <si>
    <t>Výztuž základových kleneb svařovanými sítěmi Kari</t>
  </si>
  <si>
    <t>Kompletní konstrukce ČOV, nadrží, vodojemů, žlabů nebo kanálů ze ŽB tř. C 30/37 tl 300 mm</t>
  </si>
  <si>
    <t>Bednění kompletních konstrukcí ČOV, nádrží nebo vodojemů omítaných ploch rovinných zřízení</t>
  </si>
  <si>
    <t>Bednění kompletních konstrukcí ČOV, nádrží nebo vodojemů omítaných ploch rovinných odstranění</t>
  </si>
  <si>
    <t>Výztuž kompletních konstrukcí ČOV, nádrží nebo vodojemů z betonářské oceli 10 505</t>
  </si>
  <si>
    <t>Opevnění z lomového kamene do drátěných košů gabionů zpracované na místě</t>
  </si>
  <si>
    <t>Rovnanina z lomového kamene upraveného s vyklínováním spár úlomky kamene</t>
  </si>
  <si>
    <t>Příplatek za vypracováni líce rovnaniny</t>
  </si>
  <si>
    <t>Práh dřevěný dvojitý z kulatiny od 200 do 290 mm</t>
  </si>
  <si>
    <t>Demontáž a zpětná montáž zábradlí vč.uložení a repase</t>
  </si>
  <si>
    <t>Montáž kanalizačních šoupátek nebo stavítek DN 1200</t>
  </si>
  <si>
    <t>Kanalizační klapka PEHD DN 1200  PTK-D vč.kotevní sady</t>
  </si>
  <si>
    <t>Odvoz suti a vybouraných hmot na skládku do 1 km</t>
  </si>
  <si>
    <t>Odvoz suti a vybouraných hmot na skládku ZKD 1 km přes 1 km</t>
  </si>
  <si>
    <t>Poplatek za řízenou skládku vč.analýz rozboru o uložení odpadu na skládku</t>
  </si>
  <si>
    <t>SO 01 Stoka RA - monitoring objektů</t>
  </si>
  <si>
    <t>01.09.2009</t>
  </si>
  <si>
    <t>SO 01.1 Stoka RA - protlak pod ul. Místecká</t>
  </si>
  <si>
    <t>Rozebrání vozovek ze silničních dílců</t>
  </si>
  <si>
    <t>Čerpání vody na dopravní výšku do 10 m průměrný přítok do 500 l/min</t>
  </si>
  <si>
    <t>Pohotovost čerpací soupravy pro dopravní výšku do 10 m přítok do 500 l/min</t>
  </si>
  <si>
    <t>Hloubení jam ručním nebo pneum nářadím v soudržných horninách tř. 4</t>
  </si>
  <si>
    <t>Příplatek za lepivost u hloubení jam ručním nebo pneum nářadím v hornině tř. 4</t>
  </si>
  <si>
    <t>Dolamování hloubených vykopávek jam ve vrstvě tl do 1000 mm v hornině tř. 5</t>
  </si>
  <si>
    <t>Ražení štol bez trhaviny l do 200 m průřez nad 1,5 do 4 m2 II stupeň ražnosti suchá</t>
  </si>
  <si>
    <t>Zřízení hnaného pažení stěn výkopu hl do 4 m</t>
  </si>
  <si>
    <t>pažnice ocelová "UNION" materiál S 235 JRkat.č.: 6100930</t>
  </si>
  <si>
    <t>Zřízení hnaného pažení stěn výkopu hl do 8 m</t>
  </si>
  <si>
    <t>Odstranění pažení stěn hnaného hl do 4 m</t>
  </si>
  <si>
    <t>Odstranění pažení stěn hnaného hl do 8 m</t>
  </si>
  <si>
    <t>Zapažení výrubu štol dočasně ocelové suchá l do 200 m</t>
  </si>
  <si>
    <t>Montáž nosné konstrukce výstroje štol netypové l do 200 m trvale suchá</t>
  </si>
  <si>
    <t>Výstužné rámy</t>
  </si>
  <si>
    <t>Svislé přemístění výkopku z horniny tř. 1 až 4 hl výkopu do 6 m</t>
  </si>
  <si>
    <t>Vodorovné přemístění do 10 m nošením výkopku z horniny tř. 1 až 4</t>
  </si>
  <si>
    <t>Příplatek k vodorovnému přemístění nošením ZKD 10 m nošení výkopku z horniny tř. 1 až 4</t>
  </si>
  <si>
    <t>kamenivo struskové pro stavební účely zrnitost 16-32 mm</t>
  </si>
  <si>
    <t>Bezvýkopová technologie z ocelových trub protlačením l do 100 m D do 1220 mm</t>
  </si>
  <si>
    <t>trubka ocelová podélně svařovaná hladká 11375.1 D1195 tl 12,5 mm</t>
  </si>
  <si>
    <t>Trativod z drenážních trubek plastových flexibilních D do 100 mm včetně lože otevřený výkop</t>
  </si>
  <si>
    <t>Stěny beraněné z terénu zaberanění na délku do 12 m</t>
  </si>
  <si>
    <t>štětovnice ZTV IIIn, EN 10248-2 zn. S240GP (1.0021) dle EN 10248-1</t>
  </si>
  <si>
    <t>Vytažení ocelových štětových stěn zaberaněných do 2 let l do 12 m zaberaněných do 4 m</t>
  </si>
  <si>
    <t>Vrty pro snížení HPV</t>
  </si>
  <si>
    <t>Základové klenby ze ŽB tř. C 25/30</t>
  </si>
  <si>
    <t>Příčky tl 140 mm z cihel plných lícových Klinker dl 290 mm pevnosti P 60 na MVC včetně spárování</t>
  </si>
  <si>
    <t>Zajištění šachet tamponáž</t>
  </si>
  <si>
    <t>Sběrné těleso výšky 600 mm</t>
  </si>
  <si>
    <t>skruž betonová studňová kruhová TBS-Q 80/100 80x100x9,7 cm</t>
  </si>
  <si>
    <t>Osazení silničních dílců z ŽB do lože z kameniva těženého tl 40 mm</t>
  </si>
  <si>
    <t>panel silniční IDZ 2/490 300x100x15 cm</t>
  </si>
  <si>
    <t>Úpravy povrchu, podlahy, osazení</t>
  </si>
  <si>
    <t>Násyp pod podlahy, mazaniny a dlažby ze štěrkopísku frakce 0-32 pro zpevnění podkladu</t>
  </si>
  <si>
    <t>Drenáže z trub ocelových hrdlových DN 50 mm</t>
  </si>
  <si>
    <t>Práce a dodávky PSV</t>
  </si>
  <si>
    <t>767</t>
  </si>
  <si>
    <t>Konstrukce zámečnické</t>
  </si>
  <si>
    <t>Montáž atypických zámečnických konstrukcí hmotnosti do 10 kg</t>
  </si>
  <si>
    <t>tyč ocelová U, značka oceli S 235 JR, označení průřezu 100</t>
  </si>
  <si>
    <t>tyč ocelová L rovnoramenná, značka oceli S 235 JR, 50x50x5 mm</t>
  </si>
  <si>
    <t>Montáž atypických zámečnických konstrukcí hmotnosti do 100 kg</t>
  </si>
  <si>
    <t>tyč ocelová I, značka oceli S 235 JR, označení průřezu 140</t>
  </si>
  <si>
    <t>tyč ocelová I, jakost S 235 JR označení průřezu 260</t>
  </si>
  <si>
    <t>tyč ocelová I, jakost S 235 JR označení průřezu 300</t>
  </si>
  <si>
    <t>tyč ocelová I, jakost S 235 JR označení průřezu 200</t>
  </si>
  <si>
    <t>tyč ocelová U , jakost S 235 JR označení průřezu 280</t>
  </si>
  <si>
    <t>Demontáž atypických zámečnických konstrukcí hmotnosti jednotlivých dílů do 100 kg</t>
  </si>
  <si>
    <t>SO 02 Kanalizační přípojky</t>
  </si>
  <si>
    <t>SO 02 Kanalizační přípojky DN 150 - stoka RA</t>
  </si>
  <si>
    <t>Zřízení zátažného pažení a rozepření stěn rýh hl do 2 m</t>
  </si>
  <si>
    <t>Odstranění zátažného pažení a rozepření stěn rýh hl do 2 m</t>
  </si>
  <si>
    <t>kamenivo těžené</t>
  </si>
  <si>
    <t>Lože pod potrubí otevřený výkop ze strusky</t>
  </si>
  <si>
    <t>Sedlové lože z betonu prostého tř. C 8/10 otevřený výkop</t>
  </si>
  <si>
    <t>Postřik živičný spojovací z asfaltu v množství do 0,70 kg/m2</t>
  </si>
  <si>
    <t xml:space="preserve">Asfaltový beton vrstva obrusná ACO 11 (ABS) tř. I tl 50 mm š do 3 m </t>
  </si>
  <si>
    <t>Asfaltový beton vrstva obrusná ACO 16 (ABH) tl 50 mm š do 3 m z nemodifikovaného asfaltu</t>
  </si>
  <si>
    <t>Prohlídka televízní kamerou,vč.záznamu</t>
  </si>
  <si>
    <t>Napojení přípojky na potrubí</t>
  </si>
  <si>
    <t>Zřízení šachty PP DN 400 s poklopem vč. dodávky</t>
  </si>
  <si>
    <t>SO 02 Kanalizační přípojky DN 200 - stoka RA</t>
  </si>
  <si>
    <t>Odstraněni podkladu pl přes 200 m2 živičných tl 100 mm</t>
  </si>
  <si>
    <t>SO 02 Kanalizační přípojky DN 150 - stoka D1</t>
  </si>
  <si>
    <t>28.08.2009</t>
  </si>
  <si>
    <t>SO 03 Odlehčovací komora</t>
  </si>
  <si>
    <t>Hloubení jam zapažených v hornině tř. 3 objemu do 1000 m3</t>
  </si>
  <si>
    <t>Příplatek za lepivost u hloubení jam zapažených v hornině tř. 3</t>
  </si>
  <si>
    <t>Zřízení a odstranění těžkého kluznicového a komorového pažení</t>
  </si>
  <si>
    <t>Příplatek k vodorovnému přemístění výkopku z horniny tř. 1 až 4 ZKD 1000 m přes 10000 m</t>
  </si>
  <si>
    <t>Uložení sypaniny z hornin soudržných do násypů zhutněných do 100 % PS</t>
  </si>
  <si>
    <t>Hutnění boků násypů pro jakýkoliv sklon a míru zhutnění svahu</t>
  </si>
  <si>
    <t>Základové klenby z betonu tř. C 16/20</t>
  </si>
  <si>
    <t>Kompletní konstrukce ČOV, nádrží, vodojemů nebo kanálů z betonu prostého tř. C 20/25 tl nad 300 mm</t>
  </si>
  <si>
    <t>Kompletní konstrukce ČOV, nádrží nebo vodojemů ze ŽB tř. C 30/37 tl do 300 mm</t>
  </si>
  <si>
    <t>Bednění kompletních konstrukcí ČOV neomítaných z betonu vodostavebného ploch rovinných zřízení</t>
  </si>
  <si>
    <t>Bednění kompletních konstrukcí ČOV neomítaných z betonu vodostavebného ploch rovinných odstranění</t>
  </si>
  <si>
    <t>Mazanina tl do 80 mm z betonu prostého tř. C 16/20</t>
  </si>
  <si>
    <t>Zřízení bednění stěn rýh a otvorů v podlahách</t>
  </si>
  <si>
    <t>Odstranění bednění stěn rýh a otvorů v podlahách</t>
  </si>
  <si>
    <t>Násyp pod podlahy, mazaniny a dlažby z vysokopecní strusky o velikosti zrn přes 15 mm</t>
  </si>
  <si>
    <t>Montáž kanalizačních šoupátek nebo stavítek DN 300</t>
  </si>
  <si>
    <t>Šoupátko kanalizační DN 250 vč.ovládání,pružné sestavy,chem,kotev a zkoušky</t>
  </si>
  <si>
    <t>Žlaby kameninové šachet ze žlábků stokových poloměru 250 mm</t>
  </si>
  <si>
    <t>Osazení poklopů litinových šoupátkových</t>
  </si>
  <si>
    <t>Poklop šoupátkový</t>
  </si>
  <si>
    <t>Stupadla do šachet litinová vidlicová nebo z betonářské oceli osazovaná do vynechaných otvorů</t>
  </si>
  <si>
    <t>stupadlo s plastovým povrchem</t>
  </si>
  <si>
    <t>Stupadla do šachet litinová kapsová osazovaná při zdění nebo betonování</t>
  </si>
  <si>
    <t xml:space="preserve">stupadlo kapsové </t>
  </si>
  <si>
    <t>Dodávka a montáž šachtové vložky DN 250</t>
  </si>
  <si>
    <t>Dodávka a montáž šachtové vložky DN 1200</t>
  </si>
  <si>
    <t>Dočasné kotvení stožáru</t>
  </si>
  <si>
    <t>Zřízení těsnění pracovní spáry PU pryskyřicí</t>
  </si>
  <si>
    <t>Lešení lehké pomocné kozové trubkové o výšce lešeňové podlahy do 1,9 m</t>
  </si>
  <si>
    <t>Vyčištění objektů ČOV, nádrží, žlabů a kanálů při v do 3,5 m</t>
  </si>
  <si>
    <t>Přesun hmot pro nádrže a jímky ČOV, zásobníky a jámy mimo zemědělských betonové v do 25 m</t>
  </si>
  <si>
    <t>Izolace proti vodě, vlhkosti a plynům</t>
  </si>
  <si>
    <t>Provedení izolace proti zemní vlhkosti vodorovné za studena nátěrem penetračním</t>
  </si>
  <si>
    <t>lak asfaltový PENETRAL ALP</t>
  </si>
  <si>
    <t>Provedení izolace proti zemní vlhkosti svislé za studena nátěrem penetračním</t>
  </si>
  <si>
    <t>Provedení izolace proti zemní vlhkosti svislé za studena suspenzí asfaltovou</t>
  </si>
  <si>
    <t>Suspenze asfaltová</t>
  </si>
  <si>
    <t>Provedení izolace proti zemní vlhkosti pásy přitavením vodorovné NAIP</t>
  </si>
  <si>
    <t>Bitumenový pás</t>
  </si>
  <si>
    <t>Provedení izolace proti zemní vlhkosti pásy přitavením svislé NAIP</t>
  </si>
  <si>
    <t>Provedení izolace proti tlakové vodě vodorovné z textilií vrstva ochranná</t>
  </si>
  <si>
    <t>textilie netkaná</t>
  </si>
  <si>
    <t>Přesun hmot pro izolace proti vodě, vlhkosti a plynům v objektech v do 6 m</t>
  </si>
  <si>
    <t>Dodávka a montáž přepadové desky nerez vč. otvorů a zatmelení</t>
  </si>
  <si>
    <t>Dodávka a montáž nerez šroubů M12x120 vč.matis a podložek</t>
  </si>
  <si>
    <t>Přesun hmot pro zámečnické konstrukce v objektech v do 6 m</t>
  </si>
  <si>
    <t>Podlahy z dlaždic</t>
  </si>
  <si>
    <t>Montáž podlah keramických režných hladkýchdo tmele</t>
  </si>
  <si>
    <t>dlaždice keramické do kanalizace</t>
  </si>
  <si>
    <t>Příplatek k montáž podlah keramických za spárování tmelem dvousložkovým</t>
  </si>
  <si>
    <t>Přesun hmot pro podlahy z dlaždic v objektech v do 6 m</t>
  </si>
  <si>
    <t>Dokončovací práce - obklady keramické</t>
  </si>
  <si>
    <t>Montáž obkladů vnitřních keramických režných do lepidla</t>
  </si>
  <si>
    <t>Příplatek k montáži obkladů vnitřních keramických hladkých za spárování tmelem</t>
  </si>
  <si>
    <t>Přesun hmot pro obklady keramické v objektech v do 6 m</t>
  </si>
  <si>
    <t>Dokončovací práce - nátěry</t>
  </si>
  <si>
    <t>Nátěry betonových stěn a stropů do vlhkého prostředí</t>
  </si>
  <si>
    <t>SO 04 Přeložka NN</t>
  </si>
  <si>
    <t>S0 05 Přeložka VO</t>
  </si>
  <si>
    <t>SO 06 Přeložka slaboproudu</t>
  </si>
  <si>
    <t>SO 07 Přeložka vodovodu</t>
  </si>
  <si>
    <t>15.4.2010</t>
  </si>
  <si>
    <t>Odstranění podkladu pl do 50 m2 z kameniva drceného tl 200 mm</t>
  </si>
  <si>
    <t>Odstranění podkladu pl do 50 m2 živičných tl 100 mm</t>
  </si>
  <si>
    <t>Odstranění živičného krytu frézováním pl do 500 m2 tl 50 mm</t>
  </si>
  <si>
    <t>Hloubení rýh š do 2000 mm v hornině tř. 3 objemu do 100 m3</t>
  </si>
  <si>
    <t>Poplatek za skládku přebytečné zeminy vč. analýr rozboru o uložení odpadu na skládku</t>
  </si>
  <si>
    <t>Lože pod potrubí otevřený výkop z kameniva drobného těženého</t>
  </si>
  <si>
    <t>Podkladní bloky z betonu prostého tř. C 16/20 otevřený výkop vč.bednění</t>
  </si>
  <si>
    <t>Montáž potrubí z trubek z tlakového polyetylénu otevřený výkop svařovaných vnější průměr 32 mm</t>
  </si>
  <si>
    <t>potrubí vodovodní PE100 PN16 SDR11 RC 6 m, 100 m, 32 x 3,0 mm</t>
  </si>
  <si>
    <t>Montáž potrubí z trubek tlakových z tvrdého PVC otevřený výkop vnější průměr 90 mm</t>
  </si>
  <si>
    <t>potrubí vodovodní PE 90 x 4,3 mm</t>
  </si>
  <si>
    <t>Montáž potrubí z trubek tlakových z tvrdého PVC otevřený výkop svařovaných vnější průměr 225 mm</t>
  </si>
  <si>
    <t>Chránička DN 200 vč. vystrojení</t>
  </si>
  <si>
    <t>Montáž elektrotvarovek na potrubí z trubek z tlakového PE otevřený výkop vnější průměr 32 mm</t>
  </si>
  <si>
    <t>Koleno HDPE PE 100 SDR11 D32/90st</t>
  </si>
  <si>
    <t>Montáž tvarovek na potrubí z trubek z tlakového PE otevřený výkop vnější průměr 90 mm</t>
  </si>
  <si>
    <t>PVC oblouk hrdlový D90/11st</t>
  </si>
  <si>
    <t>PVC oblouk hrdlový D90/45st</t>
  </si>
  <si>
    <t>PVC odbočka hrdlová s přírubovou ANPL D90/90</t>
  </si>
  <si>
    <t>PVC přesuvka UNPL D90</t>
  </si>
  <si>
    <t>PVC tvarovka přechodová ENPL D90</t>
  </si>
  <si>
    <t>Příplatek za montáž vodovodních přípojek při montáži jakéhokoli potrubí DN 100 až 150</t>
  </si>
  <si>
    <t>Montáž vodovodních šoupátek otevřený výkop DN 80</t>
  </si>
  <si>
    <t>šoupátko EKO DN 80/PN 1,0-GGG-40</t>
  </si>
  <si>
    <t>Zemní souprava teleskopická</t>
  </si>
  <si>
    <t>Montáž navrtávacích pasů na potrubí z jakýchkoli trub DN 8</t>
  </si>
  <si>
    <t>Navrtávací pás se šoupátkem DN 90/1"</t>
  </si>
  <si>
    <t>Tlaková zkouška vodovodního potrubí do 80</t>
  </si>
  <si>
    <t>Proplach a desinfekce vodovodního potrubí DN od 80 do 125</t>
  </si>
  <si>
    <t>Zabezpečení konců vodovodního potrubí DN do 300 při tlakových zkouškách</t>
  </si>
  <si>
    <t>Osazení poklopů litinových ventilových</t>
  </si>
  <si>
    <t>poklop ze šedé litiny ventilový 7,5 kg</t>
  </si>
  <si>
    <t>poklop ze šedé litiny šoupátkový 18kg</t>
  </si>
  <si>
    <t>Signalizační vodič</t>
  </si>
  <si>
    <t>Výstražná folie</t>
  </si>
  <si>
    <t>Demontáž stávajícího vodovodního řádu vč.přípojky a povrchových znaků</t>
  </si>
  <si>
    <t>Poplatek za řízenou skládku vč,analýz rozboru o uložení odpadu na skládku</t>
  </si>
  <si>
    <t>13 Propojení kanalizace Nová Bělá - Hrabová</t>
  </si>
  <si>
    <t>Magistrát města Ostrava</t>
  </si>
  <si>
    <t>List</t>
  </si>
  <si>
    <t xml:space="preserve">Část: </t>
  </si>
  <si>
    <t>Položka</t>
  </si>
  <si>
    <t>Dodávka</t>
  </si>
  <si>
    <t xml:space="preserve">Popis                                                                                                                                    </t>
  </si>
  <si>
    <t>1.1.</t>
  </si>
  <si>
    <t>1.1.1.</t>
  </si>
  <si>
    <t>Zřízení, údržba a odstranění prostor dodavatele</t>
  </si>
  <si>
    <t>ZS zhotovitele - sociální objekty</t>
  </si>
  <si>
    <r>
      <t>ZS zhotovitele - provozní objekty ZS</t>
    </r>
    <r>
      <rPr>
        <sz val="8"/>
        <rFont val="Arial"/>
        <family val="2"/>
      </rPr>
      <t xml:space="preserve">: </t>
    </r>
  </si>
  <si>
    <t>1.1.2.</t>
  </si>
  <si>
    <t>Napojení zařízení staveniště na media</t>
  </si>
  <si>
    <t>Připojení zařízení staveniště na jednotlivá media</t>
  </si>
  <si>
    <t>Elektrická energie</t>
  </si>
  <si>
    <t xml:space="preserve">Napojení na stávající rozvody nn v bezprostředním okolí staveniště. </t>
  </si>
  <si>
    <t>Náklady za vypouštění čerpané podzemní vody do veřejné kanalizace</t>
  </si>
  <si>
    <t>Poplatky správci kanalizace za vypouštění čerpaných podzemních vod z výkopů, stavebních jam a rýh do veřejné kanalizace</t>
  </si>
  <si>
    <t>Náklady za vypouštění čerpané podzemní vody do povrchových toků</t>
  </si>
  <si>
    <t>Poplatky správci povrchového toku za vypouštění čerpaných podzemních vod z výkopů, stavebních jam a rýh do povrchových toků  příslušnému správci</t>
  </si>
  <si>
    <t>1.1.3.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</si>
  <si>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</si>
  <si>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</si>
  <si>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1.1.4.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</si>
  <si>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</si>
  <si>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</si>
  <si>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</si>
  <si>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</si>
  <si>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</si>
  <si>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Bezpečnost práce</t>
  </si>
  <si>
    <t>Zajištění bezpečnosti práce na staveništi včetně provádění průběžných kontrol v rámci systému BOZ</t>
  </si>
  <si>
    <t>Zhotovitel  zajistí prostory pro  skladování materiálu a pro mezideponie zeminy  včetně poplatků za pronájmy ploch mimo poplatky zahrnuté v bodě 3.1.1.</t>
  </si>
  <si>
    <t>1.1.6.</t>
  </si>
  <si>
    <t>Monitoring podzemních vod</t>
  </si>
  <si>
    <t>Rozbory a sledování kvality podzemních vod - ověřovací rozbory</t>
  </si>
  <si>
    <t>Zhotovitel  bude provádět kontrolní rozbory podzemních vod za účelem stanovení jejich agresivity na stavební konstrukce</t>
  </si>
  <si>
    <t>Sledování množství a kvality čerpané podzemní vody, která je následně vypouštěná do kanalizace nebo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</si>
  <si>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</si>
  <si>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1.1.7.</t>
  </si>
  <si>
    <t xml:space="preserve">Zajištění čištění komunikací </t>
  </si>
  <si>
    <t>Čistění komunikací</t>
  </si>
  <si>
    <t>Zajištění čištění komunikací po celou dobu realizace stavby</t>
  </si>
  <si>
    <t>1.1.8.</t>
  </si>
  <si>
    <t>Náklady na zajištění bezpečnosti silničního provozu</t>
  </si>
  <si>
    <t xml:space="preserve">Dočasné dopravní značení 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</si>
  <si>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</si>
  <si>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1.1.9.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</si>
  <si>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</si>
  <si>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</si>
  <si>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</si>
  <si>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Náklady na projednání a zajištění připojení nemovitostí</t>
  </si>
  <si>
    <t>Zhotovitel  zajistí projednání podmínek stavby se správci inženýrských sítí a s  majiteli dotčených pozemků a zajistí potřebná povolení pro realizaci stavby včetně projednání a odsouhlasení připojení příslušných nemovitostí. Součástí je zajištění písemného souhlasu vlastníka příslušné nemovitosti a jeho podpisu předávacího protokolu o zřízení přípojky.</t>
  </si>
  <si>
    <t>Potřebná povolení a souhlasy</t>
  </si>
  <si>
    <t>Zajištění veškerých potřebných povolení pro zahájení, pro realizaci a pro ukončení výstavby - pro předání investorovi k užívání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</si>
  <si>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</si>
  <si>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</si>
  <si>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</si>
  <si>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</si>
  <si>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1.2.1.</t>
  </si>
  <si>
    <t>Související činnosti</t>
  </si>
  <si>
    <t>Povodňový plán stavby</t>
  </si>
  <si>
    <t>Náklady na zpracování, projednání  a schválení povodňového plánu stavby</t>
  </si>
  <si>
    <t>Náklady na zpracování, projednání a schválení povodňového plánu stavby. Povodňový plán bude vypracován 5x v tištěné verzi a 2x v digitální verzi na CD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</si>
  <si>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</si>
  <si>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</si>
  <si>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</si>
  <si>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</si>
  <si>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</si>
  <si>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Vypracování provozního řádu pro dočasné snižování hladiny podzemní vody čerpáním podzemních vod a vod  ze stavební rýhy při výstavbě včetně projednání a schválení. Provozní řád bude vypracován 5x v tištěné verzi a 2x v digitální verzi na CD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</si>
  <si>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</si>
  <si>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</si>
  <si>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</si>
  <si>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</si>
  <si>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</si>
  <si>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</si>
  <si>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</si>
  <si>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Vyhotovení geometrického plánu pro vklad věcných břemen do katastru nemovitostí</t>
  </si>
  <si>
    <t>Vypracování geometrického plánu skutečného provedení stavby do katastrální mapy pro vklad věcných břemen do katastru nemovitostí  dle požadavků a zásad platné státní legislativy a dle požadavků Katastrálního úřadu. Geometrický plán pro vklad věcných břemen do KN bude vypracován 7x v tištěné verzi a 2x v digitální verzi na CD pro každého vlastníka dotčených pozemků. Dokumentace bude ověřená odpovědným geodetem a Katastrálním úřadem.</t>
  </si>
  <si>
    <t>Dokumentace skutečného provedení stavby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</si>
  <si>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</si>
  <si>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</si>
  <si>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</si>
  <si>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</si>
  <si>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</si>
  <si>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</si>
  <si>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</si>
  <si>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CPV</t>
  </si>
  <si>
    <t>45232410-9</t>
  </si>
  <si>
    <t>45232423-3</t>
  </si>
  <si>
    <t>45231000-5</t>
  </si>
  <si>
    <t>74300000-2</t>
  </si>
  <si>
    <t>SO 08 Pasportizace a monitoring objektů</t>
  </si>
  <si>
    <t>Zařízení staveniště a související činnosti Zhotovitele</t>
  </si>
  <si>
    <t>Rezerva 10%</t>
  </si>
  <si>
    <t>MEZISOUČET</t>
  </si>
  <si>
    <t>1.1.5.</t>
  </si>
  <si>
    <t>Zajištění přístupu na staveniště a skládek</t>
  </si>
  <si>
    <t xml:space="preserve"> Zajištění přístupu na staveniště a skládky včetně poplatků</t>
  </si>
  <si>
    <t>Součet</t>
  </si>
  <si>
    <t>212752112</t>
  </si>
  <si>
    <t>2421111111</t>
  </si>
  <si>
    <t>452311121</t>
  </si>
  <si>
    <t>452351101</t>
  </si>
  <si>
    <t>564851114</t>
  </si>
  <si>
    <t>565175111</t>
  </si>
  <si>
    <t>577144111</t>
  </si>
  <si>
    <t>577146111</t>
  </si>
  <si>
    <t>599141111</t>
  </si>
  <si>
    <t>04</t>
  </si>
  <si>
    <t>831392121</t>
  </si>
  <si>
    <t>597107060</t>
  </si>
  <si>
    <t>837312221</t>
  </si>
  <si>
    <t>597118520</t>
  </si>
  <si>
    <t>837391221</t>
  </si>
  <si>
    <t>597117900</t>
  </si>
  <si>
    <t>894419001</t>
  </si>
  <si>
    <t>894419003</t>
  </si>
  <si>
    <t>894419005</t>
  </si>
  <si>
    <t>894419007</t>
  </si>
  <si>
    <t>899103111</t>
  </si>
  <si>
    <t>552001</t>
  </si>
  <si>
    <t>552002</t>
  </si>
  <si>
    <t>899623131</t>
  </si>
  <si>
    <t>899623151</t>
  </si>
  <si>
    <t>899643111</t>
  </si>
  <si>
    <t>899999003</t>
  </si>
  <si>
    <t>899999017</t>
  </si>
  <si>
    <t>889999001</t>
  </si>
  <si>
    <t>899999019</t>
  </si>
  <si>
    <t>899999020</t>
  </si>
  <si>
    <t>919735112</t>
  </si>
  <si>
    <t>979082213</t>
  </si>
  <si>
    <t>979082219</t>
  </si>
  <si>
    <t>979999001</t>
  </si>
  <si>
    <t>9982761-S</t>
  </si>
  <si>
    <t>230170006</t>
  </si>
  <si>
    <t>230170016</t>
  </si>
  <si>
    <t>113107222</t>
  </si>
  <si>
    <t>113107224</t>
  </si>
  <si>
    <t>113107242</t>
  </si>
  <si>
    <t>113151214</t>
  </si>
  <si>
    <t>115101202</t>
  </si>
  <si>
    <t>115101302</t>
  </si>
  <si>
    <t>119001401</t>
  </si>
  <si>
    <t>119001412</t>
  </si>
  <si>
    <t>121101101</t>
  </si>
  <si>
    <t>132201204</t>
  </si>
  <si>
    <t>132201209</t>
  </si>
  <si>
    <t>151201102</t>
  </si>
  <si>
    <t>151201112</t>
  </si>
  <si>
    <t>161101102</t>
  </si>
  <si>
    <t>162609001</t>
  </si>
  <si>
    <t>162701105</t>
  </si>
  <si>
    <t>171101105</t>
  </si>
  <si>
    <t>174101101</t>
  </si>
  <si>
    <t>122614300</t>
  </si>
  <si>
    <t>181301103</t>
  </si>
  <si>
    <t>181309002</t>
  </si>
  <si>
    <t>183405211</t>
  </si>
  <si>
    <t>005724700</t>
  </si>
  <si>
    <t>143204113S</t>
  </si>
  <si>
    <t>143332800</t>
  </si>
  <si>
    <t>143411111</t>
  </si>
  <si>
    <t>143411112</t>
  </si>
  <si>
    <t>143411113</t>
  </si>
  <si>
    <t>"viz výkres Příčné řezy uložení potrubí v.č.F.2.2.3.6-7"</t>
  </si>
  <si>
    <t>871392111</t>
  </si>
  <si>
    <t>286410030</t>
  </si>
  <si>
    <t>132201203</t>
  </si>
  <si>
    <t>452312131</t>
  </si>
  <si>
    <t>822522111</t>
  </si>
  <si>
    <t>592224521</t>
  </si>
  <si>
    <t>831263195</t>
  </si>
  <si>
    <t>831352121</t>
  </si>
  <si>
    <t>597106760</t>
  </si>
  <si>
    <t>894419009</t>
  </si>
  <si>
    <t>230170004</t>
  </si>
  <si>
    <t>230170008</t>
  </si>
  <si>
    <t>230170014</t>
  </si>
  <si>
    <t>230170018</t>
  </si>
  <si>
    <t>175101101</t>
  </si>
  <si>
    <t>583313450</t>
  </si>
  <si>
    <t>358315114S</t>
  </si>
  <si>
    <t>452312121R</t>
  </si>
  <si>
    <t>831312121</t>
  </si>
  <si>
    <t>597106750</t>
  </si>
  <si>
    <t>871522111</t>
  </si>
  <si>
    <t>286412760</t>
  </si>
  <si>
    <t>899999991</t>
  </si>
  <si>
    <t>Srov-90</t>
  </si>
  <si>
    <t>115001106</t>
  </si>
  <si>
    <t>120901121</t>
  </si>
  <si>
    <t>120901114</t>
  </si>
  <si>
    <t>124203101</t>
  </si>
  <si>
    <t>124203109</t>
  </si>
  <si>
    <t>272313511</t>
  </si>
  <si>
    <t>272351215</t>
  </si>
  <si>
    <t>272351216</t>
  </si>
  <si>
    <t>272362021</t>
  </si>
  <si>
    <t>380321662</t>
  </si>
  <si>
    <t>380356211</t>
  </si>
  <si>
    <t>380356212</t>
  </si>
  <si>
    <t>380361006</t>
  </si>
  <si>
    <t>461511111</t>
  </si>
  <si>
    <t>463212111</t>
  </si>
  <si>
    <t>463212191</t>
  </si>
  <si>
    <t>467951220</t>
  </si>
  <si>
    <t>499999001</t>
  </si>
  <si>
    <t>891522121</t>
  </si>
  <si>
    <t>551001</t>
  </si>
  <si>
    <t>979081111</t>
  </si>
  <si>
    <t>979081121</t>
  </si>
  <si>
    <t>979099151</t>
  </si>
  <si>
    <t>113106241</t>
  </si>
  <si>
    <t>115101201</t>
  </si>
  <si>
    <t>115101301</t>
  </si>
  <si>
    <t>131303101</t>
  </si>
  <si>
    <t>131303109</t>
  </si>
  <si>
    <t>138401101</t>
  </si>
  <si>
    <t>142264111</t>
  </si>
  <si>
    <t>151301201</t>
  </si>
  <si>
    <t>134633100</t>
  </si>
  <si>
    <t>151301202</t>
  </si>
  <si>
    <t>151301211</t>
  </si>
  <si>
    <t>151301212</t>
  </si>
  <si>
    <t>154064121</t>
  </si>
  <si>
    <t>154066121</t>
  </si>
  <si>
    <t>133844999</t>
  </si>
  <si>
    <t>161101103</t>
  </si>
  <si>
    <t>162201201</t>
  </si>
  <si>
    <t>162201209</t>
  </si>
  <si>
    <t>143204116S</t>
  </si>
  <si>
    <t>143332900</t>
  </si>
  <si>
    <t>212752212</t>
  </si>
  <si>
    <t>231943213</t>
  </si>
  <si>
    <t>134422200</t>
  </si>
  <si>
    <t>237941111</t>
  </si>
  <si>
    <t>262303472S</t>
  </si>
  <si>
    <t>272321511</t>
  </si>
  <si>
    <t>342241112</t>
  </si>
  <si>
    <t>379349001</t>
  </si>
  <si>
    <t>389531111</t>
  </si>
  <si>
    <t>592253310</t>
  </si>
  <si>
    <t>584121111</t>
  </si>
  <si>
    <t>593811340</t>
  </si>
  <si>
    <t>631571003</t>
  </si>
  <si>
    <t>862218111</t>
  </si>
  <si>
    <t>767995102</t>
  </si>
  <si>
    <t>133844250</t>
  </si>
  <si>
    <t>133317120</t>
  </si>
  <si>
    <t>767995105</t>
  </si>
  <si>
    <t>133806250</t>
  </si>
  <si>
    <t>134809300</t>
  </si>
  <si>
    <t>134809400</t>
  </si>
  <si>
    <t>134809150</t>
  </si>
  <si>
    <t>134834350</t>
  </si>
  <si>
    <t>767996802</t>
  </si>
  <si>
    <t>119001421</t>
  </si>
  <si>
    <t>151201101</t>
  </si>
  <si>
    <t>151201111</t>
  </si>
  <si>
    <t>583336640</t>
  </si>
  <si>
    <t>451541111</t>
  </si>
  <si>
    <t>452312121</t>
  </si>
  <si>
    <t>573211111</t>
  </si>
  <si>
    <t>577145111</t>
  </si>
  <si>
    <t>899999002</t>
  </si>
  <si>
    <t>899999004</t>
  </si>
  <si>
    <t>899999005</t>
  </si>
  <si>
    <t>131201202</t>
  </si>
  <si>
    <t>131201209</t>
  </si>
  <si>
    <t>151209001</t>
  </si>
  <si>
    <t>229,588*0,24</t>
  </si>
  <si>
    <t>162701109</t>
  </si>
  <si>
    <t>171101103</t>
  </si>
  <si>
    <t>171151101</t>
  </si>
  <si>
    <t>272313611</t>
  </si>
  <si>
    <t>380311753</t>
  </si>
  <si>
    <t>380326242</t>
  </si>
  <si>
    <t>380356241</t>
  </si>
  <si>
    <t>380356242</t>
  </si>
  <si>
    <t>631312611</t>
  </si>
  <si>
    <t>631351101</t>
  </si>
  <si>
    <t>631351102</t>
  </si>
  <si>
    <t>631551115</t>
  </si>
  <si>
    <t>891372121</t>
  </si>
  <si>
    <t>894701601</t>
  </si>
  <si>
    <t>899401112</t>
  </si>
  <si>
    <t>552003</t>
  </si>
  <si>
    <t>899501211</t>
  </si>
  <si>
    <t>552437800</t>
  </si>
  <si>
    <t>899502111</t>
  </si>
  <si>
    <t>552437850</t>
  </si>
  <si>
    <t>899999001</t>
  </si>
  <si>
    <t>939949001</t>
  </si>
  <si>
    <t>949111112</t>
  </si>
  <si>
    <t>952903112</t>
  </si>
  <si>
    <t>998142251</t>
  </si>
  <si>
    <t>711</t>
  </si>
  <si>
    <t>711111001</t>
  </si>
  <si>
    <t>111631500</t>
  </si>
  <si>
    <t>711112001</t>
  </si>
  <si>
    <t>711112011</t>
  </si>
  <si>
    <t>111633999</t>
  </si>
  <si>
    <t>711141559</t>
  </si>
  <si>
    <t>628329001</t>
  </si>
  <si>
    <t>711142559</t>
  </si>
  <si>
    <t>711491172</t>
  </si>
  <si>
    <t>693669001</t>
  </si>
  <si>
    <t>998711201</t>
  </si>
  <si>
    <t>767999001</t>
  </si>
  <si>
    <t>767999002</t>
  </si>
  <si>
    <t>998767201</t>
  </si>
  <si>
    <t>771</t>
  </si>
  <si>
    <t>771575116R</t>
  </si>
  <si>
    <t>597619001</t>
  </si>
  <si>
    <t>771579196</t>
  </si>
  <si>
    <t>998771201</t>
  </si>
  <si>
    <t>781</t>
  </si>
  <si>
    <t>781474115R</t>
  </si>
  <si>
    <t>781479195R</t>
  </si>
  <si>
    <t>998781201</t>
  </si>
  <si>
    <t>783</t>
  </si>
  <si>
    <t>783859001</t>
  </si>
  <si>
    <t>113107122</t>
  </si>
  <si>
    <t>113107142</t>
  </si>
  <si>
    <t>113151114</t>
  </si>
  <si>
    <t>132201201</t>
  </si>
  <si>
    <t>451572111</t>
  </si>
  <si>
    <t>452313141</t>
  </si>
  <si>
    <t>871161121</t>
  </si>
  <si>
    <t>286131100</t>
  </si>
  <si>
    <t>871241111</t>
  </si>
  <si>
    <t>286138121</t>
  </si>
  <si>
    <t>871351111</t>
  </si>
  <si>
    <t>286999007</t>
  </si>
  <si>
    <t>877161121</t>
  </si>
  <si>
    <t>286999001</t>
  </si>
  <si>
    <t>877241121</t>
  </si>
  <si>
    <t>286999002</t>
  </si>
  <si>
    <t>286999003</t>
  </si>
  <si>
    <t>286999004</t>
  </si>
  <si>
    <t>286999005</t>
  </si>
  <si>
    <t>286999006</t>
  </si>
  <si>
    <t>879262199</t>
  </si>
  <si>
    <t>891241111</t>
  </si>
  <si>
    <t>551999006</t>
  </si>
  <si>
    <t>551999005</t>
  </si>
  <si>
    <t>891249111</t>
  </si>
  <si>
    <t>551999002</t>
  </si>
  <si>
    <t>892241111</t>
  </si>
  <si>
    <t>892273111</t>
  </si>
  <si>
    <t>892372111</t>
  </si>
  <si>
    <t>899401111</t>
  </si>
  <si>
    <t>422007100</t>
  </si>
  <si>
    <t>422007000</t>
  </si>
  <si>
    <t>899719001</t>
  </si>
  <si>
    <t>899719002</t>
  </si>
  <si>
    <t>899719003</t>
  </si>
  <si>
    <t>DPH základní 21%</t>
  </si>
  <si>
    <t>DPH snížené 15%</t>
  </si>
  <si>
    <t>230170005</t>
  </si>
  <si>
    <t>230170015</t>
  </si>
  <si>
    <t>831372121</t>
  </si>
  <si>
    <t>5971070,1</t>
  </si>
  <si>
    <t>101.013</t>
  </si>
  <si>
    <t>Kód dle ÚRS</t>
  </si>
  <si>
    <t>NEOCENĚNÝ ROZPOČET</t>
  </si>
  <si>
    <t>Cen. hladina:</t>
  </si>
  <si>
    <t>ÚRS 2010, KROS 2010</t>
  </si>
  <si>
    <t>OCENĚNÝ ROZPOČET</t>
  </si>
  <si>
    <t xml:space="preserve"> Propojení kanalizace Nová Bělá - Hrabová</t>
  </si>
  <si>
    <t>1.2.2.</t>
  </si>
  <si>
    <t>1.2.3.</t>
  </si>
  <si>
    <t>1.2.4.</t>
  </si>
  <si>
    <t>1.2.5.</t>
  </si>
  <si>
    <t>Náklady spojené se záborem pracovního pruhu na soukromých pozemcích</t>
  </si>
  <si>
    <t>Kč/m2/den</t>
  </si>
  <si>
    <t>Tlakové zkoušky těsnosti potrubí včetně šachet - zkouška DN do 350</t>
  </si>
  <si>
    <t>Tlakové zkoušky těsnosti potrubí včetně šachet - zkouška DN do 500</t>
  </si>
  <si>
    <t>Tlakové zkoušky těsnosti potrubí včetně šachet - zkouška DN do 200</t>
  </si>
  <si>
    <t>Tlakové zkoušky těsnosti potrubí včetně šachet- zkouška DN do 1200</t>
  </si>
  <si>
    <t>Tlakové zkoušky těsnosti potrubí včetně šachet- zkouška DN do 200</t>
  </si>
  <si>
    <t>Tlakové zkoušky těsnosti potrubí včetně šachet - zkouška DN do 1200</t>
  </si>
  <si>
    <t>Rekapitulace objektů stavby - NEOCENĚNÝ ROZPOČET</t>
  </si>
  <si>
    <t>Ostatní a vedlejší náklady</t>
  </si>
  <si>
    <t>1.1.10.</t>
  </si>
  <si>
    <t>Měření koncentrace CH4 + CO2</t>
  </si>
  <si>
    <t/>
  </si>
  <si>
    <t>roury z odstředivě litého laminátu PN 1 SN 500 DN 400 DA 427 spojka FWC</t>
  </si>
  <si>
    <t>Geodetické zaměření a vytyčení</t>
  </si>
  <si>
    <t xml:space="preserve">Náklady na vytýčení celé stavby před zahájením stavebních prací </t>
  </si>
  <si>
    <t>1.2.6.</t>
  </si>
  <si>
    <t>Doprovodné objekty - informační tabule</t>
  </si>
  <si>
    <t>Informační tabule</t>
  </si>
  <si>
    <t>Vytyčení hranice pozemku pro MTŽ ohrady</t>
  </si>
  <si>
    <t>Zkoušky zhutnění násypů a zásypů</t>
  </si>
  <si>
    <t>Zkoušky, testování a průzkumy</t>
  </si>
  <si>
    <t>Aktualizace průzkumů stávajících domovních studní v blízkosti stavby</t>
  </si>
  <si>
    <t>Nájem ploch po dobu realizaci stavby</t>
  </si>
  <si>
    <t>Náklady za pronájem ploch po dobu realizace stavby</t>
  </si>
  <si>
    <t>1.1.11.</t>
  </si>
  <si>
    <t>Statutární město Ostrava</t>
  </si>
  <si>
    <t>Sweco Hydroprojekt a.s.</t>
  </si>
  <si>
    <t>Zřízení a odstranění dočasné hrázky vč. potrubí a opevnění</t>
  </si>
  <si>
    <t>Provozní řád dočasného čerpání podzemní vody po dobu realizace stavby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</si>
</sst>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;\-#,##0.0"/>
    <numFmt numFmtId="165" formatCode="#,##0.00;\-#,##0.00"/>
    <numFmt numFmtId="166" formatCode="###0;\-###0"/>
    <numFmt numFmtId="167" formatCode="#,##0;\-#,##0"/>
    <numFmt numFmtId="168" formatCode="0.00%;\-0.00%"/>
    <numFmt numFmtId="169" formatCode="####;\-####"/>
    <numFmt numFmtId="170" formatCode="#,##0.000;\-#,##0.000"/>
    <numFmt numFmtId="171" formatCode="#,##0.00000;\-#,##0.00000"/>
    <numFmt numFmtId="172" formatCode="#,##0.00_ ;\-#,##0.00\ "/>
    <numFmt numFmtId="173" formatCode="#"/>
    <numFmt numFmtId="174" formatCode="#,##0.000"/>
    <numFmt numFmtId="175" formatCode="#,##0.0"/>
    <numFmt numFmtId="176" formatCode="&quot;See Note &quot;\ #"/>
    <numFmt numFmtId="177" formatCode="\$\ #,##0"/>
    <numFmt numFmtId="178" formatCode="0.0"/>
  </numFmts>
  <fonts count="89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18"/>
      <color indexed="10"/>
      <name val="Arial CE"/>
      <family val="2"/>
    </font>
    <font>
      <sz val="10"/>
      <name val="Arial CE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4"/>
      <color indexed="10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12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2"/>
    </font>
    <font>
      <b/>
      <sz val="10"/>
      <color indexed="17"/>
      <name val="Arial CE"/>
      <family val="2"/>
    </font>
    <font>
      <b/>
      <sz val="9.75"/>
      <name val="Arial"/>
      <family val="2"/>
    </font>
    <font>
      <b/>
      <sz val="10"/>
      <color indexed="12"/>
      <name val="Arial CE"/>
      <family val="2"/>
    </font>
    <font>
      <sz val="10"/>
      <name val="Times New Roman"/>
      <family val="1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u val="single"/>
      <sz val="10"/>
      <color indexed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10"/>
      <name val="Arial"/>
      <family val="2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name val="Calibri"/>
      <family val="2"/>
    </font>
    <font>
      <i/>
      <sz val="8"/>
      <color indexed="36"/>
      <name val="Arial"/>
      <family val="2"/>
    </font>
    <font>
      <i/>
      <sz val="8"/>
      <color indexed="36"/>
      <name val="Arial CE"/>
      <family val="2"/>
    </font>
    <font>
      <b/>
      <i/>
      <sz val="8"/>
      <color indexed="36"/>
      <name val="Arial CE"/>
      <family val="2"/>
    </font>
    <font>
      <b/>
      <i/>
      <sz val="8"/>
      <color indexed="3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i/>
      <sz val="8"/>
      <color rgb="FF7030A0"/>
      <name val="Arial"/>
      <family val="2"/>
    </font>
    <font>
      <i/>
      <sz val="8"/>
      <color rgb="FF7030A0"/>
      <name val="Arial CE"/>
      <family val="2"/>
    </font>
    <font>
      <b/>
      <i/>
      <sz val="8"/>
      <color rgb="FF7030A0"/>
      <name val="Arial CE"/>
      <family val="2"/>
    </font>
    <font>
      <b/>
      <i/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9" fillId="0" borderId="0" applyNumberFormat="0" applyFill="0" applyBorder="0" applyAlignment="0">
      <protection/>
    </xf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3" fontId="31" fillId="0" borderId="0">
      <alignment vertical="top"/>
      <protection/>
    </xf>
    <xf numFmtId="2" fontId="32" fillId="1" borderId="2">
      <alignment horizontal="left"/>
      <protection locked="0"/>
    </xf>
    <xf numFmtId="0" fontId="33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2" fontId="35" fillId="0" borderId="3">
      <alignment horizontal="center" vertical="center"/>
      <protection/>
    </xf>
    <xf numFmtId="0" fontId="71" fillId="20" borderId="0" applyNumberFormat="0" applyBorder="0" applyAlignment="0" applyProtection="0"/>
    <xf numFmtId="0" fontId="72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" fillId="0" borderId="0" applyAlignment="0">
      <protection locked="0"/>
    </xf>
    <xf numFmtId="0" fontId="2" fillId="0" borderId="0" applyAlignment="0">
      <protection locked="0"/>
    </xf>
    <xf numFmtId="0" fontId="37" fillId="0" borderId="0">
      <alignment/>
      <protection/>
    </xf>
    <xf numFmtId="0" fontId="18" fillId="0" borderId="0">
      <alignment/>
      <protection/>
    </xf>
    <xf numFmtId="0" fontId="3" fillId="0" borderId="0" applyAlignment="0"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32" fillId="0" borderId="0" applyNumberFormat="0">
      <alignment horizontal="center"/>
      <protection/>
    </xf>
    <xf numFmtId="176" fontId="38" fillId="0" borderId="0">
      <alignment horizontal="left"/>
      <protection/>
    </xf>
    <xf numFmtId="3" fontId="39" fillId="0" borderId="0">
      <alignment vertical="top"/>
      <protection/>
    </xf>
    <xf numFmtId="0" fontId="0" fillId="23" borderId="8" applyNumberFormat="0" applyFont="0" applyAlignment="0" applyProtection="0"/>
    <xf numFmtId="177" fontId="40" fillId="0" borderId="0">
      <alignment/>
      <protection/>
    </xf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176" fontId="38" fillId="0" borderId="0">
      <alignment horizontal="left"/>
      <protection/>
    </xf>
    <xf numFmtId="0" fontId="31" fillId="0" borderId="10">
      <alignment/>
      <protection/>
    </xf>
    <xf numFmtId="0" fontId="81" fillId="25" borderId="11" applyNumberFormat="0" applyAlignment="0" applyProtection="0"/>
    <xf numFmtId="0" fontId="82" fillId="26" borderId="11" applyNumberFormat="0" applyAlignment="0" applyProtection="0"/>
    <xf numFmtId="0" fontId="83" fillId="26" borderId="12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705">
    <xf numFmtId="0" fontId="0" fillId="0" borderId="0" xfId="0" applyFont="1" applyAlignment="1">
      <alignment/>
    </xf>
    <xf numFmtId="0" fontId="3" fillId="0" borderId="13" xfId="55" applyFont="1" applyBorder="1" applyAlignment="1" applyProtection="1">
      <alignment horizontal="left"/>
      <protection/>
    </xf>
    <xf numFmtId="0" fontId="3" fillId="0" borderId="14" xfId="55" applyFont="1" applyBorder="1" applyAlignment="1" applyProtection="1">
      <alignment horizontal="left"/>
      <protection/>
    </xf>
    <xf numFmtId="0" fontId="4" fillId="0" borderId="14" xfId="55" applyFont="1" applyBorder="1" applyAlignment="1" applyProtection="1">
      <alignment horizontal="left" vertical="center"/>
      <protection/>
    </xf>
    <xf numFmtId="0" fontId="3" fillId="0" borderId="15" xfId="55" applyFont="1" applyBorder="1" applyAlignment="1" applyProtection="1">
      <alignment horizontal="left"/>
      <protection/>
    </xf>
    <xf numFmtId="0" fontId="5" fillId="0" borderId="16" xfId="55" applyFont="1" applyBorder="1" applyAlignment="1" applyProtection="1">
      <alignment horizontal="left" vertical="center"/>
      <protection/>
    </xf>
    <xf numFmtId="0" fontId="5" fillId="0" borderId="17" xfId="55" applyFont="1" applyBorder="1" applyAlignment="1" applyProtection="1">
      <alignment horizontal="left" vertical="center"/>
      <protection/>
    </xf>
    <xf numFmtId="0" fontId="5" fillId="0" borderId="18" xfId="55" applyFont="1" applyBorder="1" applyAlignment="1" applyProtection="1">
      <alignment horizontal="left" vertical="center"/>
      <protection/>
    </xf>
    <xf numFmtId="0" fontId="5" fillId="0" borderId="19" xfId="55" applyFont="1" applyBorder="1" applyAlignment="1" applyProtection="1">
      <alignment horizontal="left" vertical="center"/>
      <protection/>
    </xf>
    <xf numFmtId="0" fontId="6" fillId="0" borderId="0" xfId="55" applyFont="1" applyAlignment="1" applyProtection="1">
      <alignment horizontal="left" vertical="center"/>
      <protection/>
    </xf>
    <xf numFmtId="0" fontId="7" fillId="0" borderId="0" xfId="55" applyFont="1" applyAlignment="1" applyProtection="1">
      <alignment horizontal="left" vertical="center"/>
      <protection/>
    </xf>
    <xf numFmtId="0" fontId="5" fillId="0" borderId="0" xfId="55" applyFont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8" fillId="0" borderId="0" xfId="55" applyFont="1" applyAlignment="1" applyProtection="1">
      <alignment horizontal="left" vertical="center"/>
      <protection/>
    </xf>
    <xf numFmtId="0" fontId="5" fillId="0" borderId="0" xfId="55" applyFont="1" applyAlignment="1" applyProtection="1">
      <alignment horizontal="center" vertical="center"/>
      <protection/>
    </xf>
    <xf numFmtId="0" fontId="9" fillId="0" borderId="20" xfId="55" applyFont="1" applyBorder="1" applyAlignment="1" applyProtection="1">
      <alignment horizontal="left" vertical="center"/>
      <protection/>
    </xf>
    <xf numFmtId="0" fontId="5" fillId="0" borderId="21" xfId="55" applyFont="1" applyBorder="1" applyAlignment="1" applyProtection="1">
      <alignment horizontal="left" vertical="center"/>
      <protection/>
    </xf>
    <xf numFmtId="0" fontId="5" fillId="0" borderId="22" xfId="55" applyFont="1" applyBorder="1" applyAlignment="1" applyProtection="1">
      <alignment horizontal="left" vertical="center"/>
      <protection/>
    </xf>
    <xf numFmtId="0" fontId="5" fillId="0" borderId="23" xfId="55" applyFont="1" applyBorder="1" applyAlignment="1" applyProtection="1">
      <alignment horizontal="left" vertical="center"/>
      <protection/>
    </xf>
    <xf numFmtId="0" fontId="5" fillId="0" borderId="24" xfId="55" applyFont="1" applyBorder="1" applyAlignment="1" applyProtection="1">
      <alignment horizontal="left" vertical="center"/>
      <protection/>
    </xf>
    <xf numFmtId="0" fontId="10" fillId="0" borderId="25" xfId="55" applyFont="1" applyBorder="1" applyAlignment="1" applyProtection="1">
      <alignment horizontal="left" vertical="center"/>
      <protection/>
    </xf>
    <xf numFmtId="0" fontId="5" fillId="0" borderId="26" xfId="55" applyFont="1" applyBorder="1" applyAlignment="1" applyProtection="1">
      <alignment horizontal="left" vertical="center"/>
      <protection/>
    </xf>
    <xf numFmtId="164" fontId="5" fillId="0" borderId="24" xfId="55" applyNumberFormat="1" applyFont="1" applyBorder="1" applyAlignment="1" applyProtection="1">
      <alignment horizontal="left" vertical="center"/>
      <protection/>
    </xf>
    <xf numFmtId="164" fontId="5" fillId="0" borderId="25" xfId="55" applyNumberFormat="1" applyFont="1" applyBorder="1" applyAlignment="1" applyProtection="1">
      <alignment horizontal="left" vertical="center"/>
      <protection/>
    </xf>
    <xf numFmtId="165" fontId="9" fillId="0" borderId="26" xfId="55" applyNumberFormat="1" applyFont="1" applyBorder="1" applyAlignment="1" applyProtection="1">
      <alignment horizontal="right" vertical="center"/>
      <protection/>
    </xf>
    <xf numFmtId="164" fontId="5" fillId="0" borderId="26" xfId="55" applyNumberFormat="1" applyFont="1" applyBorder="1" applyAlignment="1" applyProtection="1">
      <alignment horizontal="left" vertical="center"/>
      <protection/>
    </xf>
    <xf numFmtId="0" fontId="10" fillId="0" borderId="17" xfId="55" applyFont="1" applyBorder="1" applyAlignment="1" applyProtection="1">
      <alignment horizontal="left" vertical="center"/>
      <protection/>
    </xf>
    <xf numFmtId="166" fontId="9" fillId="0" borderId="24" xfId="55" applyNumberFormat="1" applyFont="1" applyBorder="1" applyAlignment="1" applyProtection="1">
      <alignment horizontal="right" vertical="center"/>
      <protection/>
    </xf>
    <xf numFmtId="0" fontId="5" fillId="0" borderId="25" xfId="55" applyFont="1" applyBorder="1" applyAlignment="1" applyProtection="1">
      <alignment horizontal="left" vertical="center"/>
      <protection/>
    </xf>
    <xf numFmtId="0" fontId="10" fillId="0" borderId="22" xfId="55" applyFont="1" applyBorder="1" applyAlignment="1" applyProtection="1">
      <alignment horizontal="left" vertical="center"/>
      <protection/>
    </xf>
    <xf numFmtId="164" fontId="5" fillId="0" borderId="24" xfId="55" applyNumberFormat="1" applyFont="1" applyBorder="1" applyAlignment="1" applyProtection="1">
      <alignment horizontal="right" vertical="center"/>
      <protection/>
    </xf>
    <xf numFmtId="0" fontId="11" fillId="0" borderId="24" xfId="55" applyFont="1" applyBorder="1" applyAlignment="1" applyProtection="1">
      <alignment horizontal="left" vertical="center"/>
      <protection/>
    </xf>
    <xf numFmtId="0" fontId="11" fillId="0" borderId="25" xfId="55" applyFont="1" applyBorder="1" applyAlignment="1" applyProtection="1">
      <alignment horizontal="left" vertical="center"/>
      <protection/>
    </xf>
    <xf numFmtId="0" fontId="11" fillId="0" borderId="26" xfId="55" applyFont="1" applyBorder="1" applyAlignment="1" applyProtection="1">
      <alignment horizontal="left" vertical="center"/>
      <protection/>
    </xf>
    <xf numFmtId="164" fontId="11" fillId="0" borderId="24" xfId="55" applyNumberFormat="1" applyFont="1" applyBorder="1" applyAlignment="1" applyProtection="1">
      <alignment horizontal="left" vertical="center"/>
      <protection/>
    </xf>
    <xf numFmtId="164" fontId="11" fillId="0" borderId="25" xfId="55" applyNumberFormat="1" applyFont="1" applyBorder="1" applyAlignment="1" applyProtection="1">
      <alignment horizontal="left" vertical="center"/>
      <protection/>
    </xf>
    <xf numFmtId="165" fontId="12" fillId="0" borderId="26" xfId="55" applyNumberFormat="1" applyFont="1" applyBorder="1" applyAlignment="1" applyProtection="1">
      <alignment horizontal="right" vertical="center"/>
      <protection/>
    </xf>
    <xf numFmtId="0" fontId="10" fillId="0" borderId="0" xfId="55" applyFont="1" applyAlignment="1" applyProtection="1">
      <alignment horizontal="left" vertical="center"/>
      <protection/>
    </xf>
    <xf numFmtId="0" fontId="6" fillId="0" borderId="16" xfId="55" applyFont="1" applyBorder="1" applyAlignment="1" applyProtection="1">
      <alignment horizontal="left" vertical="center"/>
      <protection/>
    </xf>
    <xf numFmtId="0" fontId="6" fillId="0" borderId="17" xfId="55" applyFont="1" applyBorder="1" applyAlignment="1" applyProtection="1">
      <alignment horizontal="left" vertical="center"/>
      <protection/>
    </xf>
    <xf numFmtId="0" fontId="6" fillId="0" borderId="18" xfId="55" applyFont="1" applyBorder="1" applyAlignment="1" applyProtection="1">
      <alignment horizontal="left" vertical="center"/>
      <protection/>
    </xf>
    <xf numFmtId="0" fontId="9" fillId="0" borderId="19" xfId="55" applyFont="1" applyBorder="1" applyAlignment="1" applyProtection="1">
      <alignment horizontal="left"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13" fillId="0" borderId="25" xfId="55" applyFont="1" applyBorder="1" applyAlignment="1" applyProtection="1">
      <alignment horizontal="left" vertical="center"/>
      <protection/>
    </xf>
    <xf numFmtId="0" fontId="14" fillId="0" borderId="25" xfId="55" applyFont="1" applyBorder="1" applyAlignment="1" applyProtection="1">
      <alignment horizontal="left" vertical="center"/>
      <protection/>
    </xf>
    <xf numFmtId="0" fontId="6" fillId="0" borderId="25" xfId="55" applyFont="1" applyBorder="1" applyAlignment="1" applyProtection="1">
      <alignment horizontal="center" vertical="center"/>
      <protection/>
    </xf>
    <xf numFmtId="0" fontId="6" fillId="0" borderId="27" xfId="55" applyFont="1" applyBorder="1" applyAlignment="1" applyProtection="1">
      <alignment horizontal="center" vertical="center"/>
      <protection/>
    </xf>
    <xf numFmtId="0" fontId="5" fillId="0" borderId="28" xfId="55" applyFont="1" applyBorder="1" applyAlignment="1" applyProtection="1">
      <alignment horizontal="center" vertical="center"/>
      <protection/>
    </xf>
    <xf numFmtId="0" fontId="6" fillId="0" borderId="29" xfId="55" applyFont="1" applyBorder="1" applyAlignment="1" applyProtection="1">
      <alignment horizontal="center" vertical="center"/>
      <protection/>
    </xf>
    <xf numFmtId="0" fontId="7" fillId="0" borderId="30" xfId="55" applyFont="1" applyBorder="1" applyAlignment="1" applyProtection="1">
      <alignment horizontal="left" vertical="center"/>
      <protection/>
    </xf>
    <xf numFmtId="0" fontId="6" fillId="0" borderId="31" xfId="55" applyFont="1" applyBorder="1" applyAlignment="1" applyProtection="1">
      <alignment horizontal="left" vertical="center"/>
      <protection/>
    </xf>
    <xf numFmtId="0" fontId="6" fillId="0" borderId="32" xfId="55" applyFont="1" applyBorder="1" applyAlignment="1" applyProtection="1">
      <alignment horizontal="left" vertical="center"/>
      <protection/>
    </xf>
    <xf numFmtId="165" fontId="7" fillId="0" borderId="33" xfId="55" applyNumberFormat="1" applyFont="1" applyBorder="1" applyAlignment="1" applyProtection="1">
      <alignment horizontal="right" vertical="center"/>
      <protection/>
    </xf>
    <xf numFmtId="165" fontId="7" fillId="0" borderId="34" xfId="55" applyNumberFormat="1" applyFont="1" applyBorder="1" applyAlignment="1" applyProtection="1">
      <alignment horizontal="right" vertical="center"/>
      <protection/>
    </xf>
    <xf numFmtId="0" fontId="9" fillId="0" borderId="13" xfId="55" applyFont="1" applyBorder="1" applyAlignment="1" applyProtection="1">
      <alignment horizontal="left" vertical="center"/>
      <protection/>
    </xf>
    <xf numFmtId="0" fontId="5" fillId="0" borderId="14" xfId="55" applyFont="1" applyBorder="1" applyAlignment="1" applyProtection="1">
      <alignment horizontal="left" vertical="center"/>
      <protection/>
    </xf>
    <xf numFmtId="0" fontId="5" fillId="0" borderId="35" xfId="55" applyFont="1" applyBorder="1" applyAlignment="1" applyProtection="1">
      <alignment horizontal="left" vertical="center"/>
      <protection/>
    </xf>
    <xf numFmtId="165" fontId="9" fillId="0" borderId="36" xfId="55" applyNumberFormat="1" applyFont="1" applyBorder="1" applyAlignment="1" applyProtection="1">
      <alignment horizontal="right" vertical="center"/>
      <protection/>
    </xf>
    <xf numFmtId="165" fontId="9" fillId="0" borderId="37" xfId="55" applyNumberFormat="1" applyFont="1" applyBorder="1" applyAlignment="1" applyProtection="1">
      <alignment horizontal="right" vertical="center"/>
      <protection/>
    </xf>
    <xf numFmtId="0" fontId="7" fillId="0" borderId="13" xfId="55" applyFont="1" applyBorder="1" applyAlignment="1" applyProtection="1">
      <alignment horizontal="left" vertical="center"/>
      <protection/>
    </xf>
    <xf numFmtId="0" fontId="6" fillId="0" borderId="14" xfId="55" applyFont="1" applyBorder="1" applyAlignment="1" applyProtection="1">
      <alignment horizontal="left" vertical="center"/>
      <protection/>
    </xf>
    <xf numFmtId="0" fontId="6" fillId="0" borderId="35" xfId="55" applyFont="1" applyBorder="1" applyAlignment="1" applyProtection="1">
      <alignment horizontal="left" vertical="center"/>
      <protection/>
    </xf>
    <xf numFmtId="165" fontId="7" fillId="0" borderId="36" xfId="55" applyNumberFormat="1" applyFont="1" applyBorder="1" applyAlignment="1" applyProtection="1">
      <alignment horizontal="right" vertical="center"/>
      <protection/>
    </xf>
    <xf numFmtId="165" fontId="7" fillId="0" borderId="37" xfId="55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166" fontId="3" fillId="0" borderId="51" xfId="0" applyNumberFormat="1" applyFont="1" applyBorder="1" applyAlignment="1" applyProtection="1">
      <alignment horizontal="right" vertical="center"/>
      <protection/>
    </xf>
    <xf numFmtId="166" fontId="3" fillId="0" borderId="52" xfId="0" applyNumberFormat="1" applyFont="1" applyBorder="1" applyAlignment="1" applyProtection="1">
      <alignment horizontal="right" vertical="center"/>
      <protection/>
    </xf>
    <xf numFmtId="167" fontId="18" fillId="0" borderId="53" xfId="0" applyNumberFormat="1" applyFont="1" applyBorder="1" applyAlignment="1" applyProtection="1">
      <alignment horizontal="right" vertical="center"/>
      <protection/>
    </xf>
    <xf numFmtId="165" fontId="18" fillId="0" borderId="54" xfId="0" applyNumberFormat="1" applyFont="1" applyBorder="1" applyAlignment="1" applyProtection="1">
      <alignment horizontal="right" vertical="center"/>
      <protection/>
    </xf>
    <xf numFmtId="166" fontId="3" fillId="0" borderId="53" xfId="0" applyNumberFormat="1" applyFont="1" applyBorder="1" applyAlignment="1" applyProtection="1">
      <alignment horizontal="right" vertical="center"/>
      <protection/>
    </xf>
    <xf numFmtId="166" fontId="3" fillId="0" borderId="54" xfId="0" applyNumberFormat="1" applyFont="1" applyBorder="1" applyAlignment="1" applyProtection="1">
      <alignment horizontal="right" vertical="center"/>
      <protection/>
    </xf>
    <xf numFmtId="166" fontId="18" fillId="0" borderId="52" xfId="0" applyNumberFormat="1" applyFont="1" applyBorder="1" applyAlignment="1" applyProtection="1">
      <alignment horizontal="right" vertical="center"/>
      <protection/>
    </xf>
    <xf numFmtId="167" fontId="18" fillId="0" borderId="44" xfId="0" applyNumberFormat="1" applyFont="1" applyBorder="1" applyAlignment="1" applyProtection="1">
      <alignment horizontal="right" vertical="center"/>
      <protection/>
    </xf>
    <xf numFmtId="165" fontId="18" fillId="0" borderId="52" xfId="0" applyNumberFormat="1" applyFont="1" applyBorder="1" applyAlignment="1" applyProtection="1">
      <alignment horizontal="right" vertical="center"/>
      <protection/>
    </xf>
    <xf numFmtId="166" fontId="3" fillId="0" borderId="55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13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165" fontId="18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left" vertical="center"/>
      <protection/>
    </xf>
    <xf numFmtId="167" fontId="3" fillId="0" borderId="60" xfId="0" applyNumberFormat="1" applyFont="1" applyBorder="1" applyAlignment="1" applyProtection="1">
      <alignment horizontal="right" vertical="center"/>
      <protection/>
    </xf>
    <xf numFmtId="166" fontId="3" fillId="0" borderId="63" xfId="0" applyNumberFormat="1" applyFont="1" applyBorder="1" applyAlignment="1" applyProtection="1">
      <alignment horizontal="right"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168" fontId="9" fillId="0" borderId="59" xfId="0" applyNumberFormat="1" applyFont="1" applyBorder="1" applyAlignment="1" applyProtection="1">
      <alignment horizontal="right" vertic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left" vertical="center"/>
      <protection/>
    </xf>
    <xf numFmtId="165" fontId="18" fillId="0" borderId="13" xfId="0" applyNumberFormat="1" applyFont="1" applyBorder="1" applyAlignment="1" applyProtection="1">
      <alignment horizontal="right" vertical="center"/>
      <protection/>
    </xf>
    <xf numFmtId="167" fontId="3" fillId="0" borderId="13" xfId="0" applyNumberFormat="1" applyFont="1" applyBorder="1" applyAlignment="1" applyProtection="1">
      <alignment horizontal="right" vertical="center"/>
      <protection/>
    </xf>
    <xf numFmtId="166" fontId="3" fillId="0" borderId="15" xfId="0" applyNumberFormat="1" applyFont="1" applyBorder="1" applyAlignment="1" applyProtection="1">
      <alignment horizontal="right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165" fontId="18" fillId="0" borderId="68" xfId="0" applyNumberFormat="1" applyFont="1" applyBorder="1" applyAlignment="1" applyProtection="1">
      <alignment horizontal="right" vertical="center"/>
      <protection/>
    </xf>
    <xf numFmtId="165" fontId="18" fillId="0" borderId="14" xfId="0" applyNumberFormat="1" applyFont="1" applyBorder="1" applyAlignment="1" applyProtection="1">
      <alignment horizontal="right" vertical="center"/>
      <protection/>
    </xf>
    <xf numFmtId="166" fontId="18" fillId="0" borderId="44" xfId="0" applyNumberFormat="1" applyFont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horizontal="left" vertical="top"/>
      <protection/>
    </xf>
    <xf numFmtId="0" fontId="5" fillId="0" borderId="69" xfId="0" applyFont="1" applyBorder="1" applyAlignment="1" applyProtection="1">
      <alignment horizontal="left" vertical="center"/>
      <protection/>
    </xf>
    <xf numFmtId="0" fontId="5" fillId="0" borderId="70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horizontal="left" vertical="center"/>
      <protection/>
    </xf>
    <xf numFmtId="0" fontId="5" fillId="0" borderId="72" xfId="0" applyFont="1" applyBorder="1" applyAlignment="1" applyProtection="1">
      <alignment horizontal="left" vertical="center"/>
      <protection/>
    </xf>
    <xf numFmtId="0" fontId="5" fillId="0" borderId="73" xfId="0" applyFont="1" applyBorder="1" applyAlignment="1" applyProtection="1">
      <alignment horizontal="left"/>
      <protection/>
    </xf>
    <xf numFmtId="0" fontId="5" fillId="0" borderId="74" xfId="0" applyFont="1" applyBorder="1" applyAlignment="1" applyProtection="1">
      <alignment horizontal="left" vertical="center"/>
      <protection/>
    </xf>
    <xf numFmtId="0" fontId="5" fillId="0" borderId="64" xfId="0" applyFont="1" applyBorder="1" applyAlignment="1" applyProtection="1">
      <alignment horizontal="left"/>
      <protection/>
    </xf>
    <xf numFmtId="2" fontId="9" fillId="0" borderId="63" xfId="0" applyNumberFormat="1" applyFont="1" applyBorder="1" applyAlignment="1" applyProtection="1">
      <alignment horizontal="right" vertical="center"/>
      <protection/>
    </xf>
    <xf numFmtId="165" fontId="18" fillId="0" borderId="64" xfId="0" applyNumberFormat="1" applyFont="1" applyBorder="1" applyAlignment="1" applyProtection="1">
      <alignment horizontal="right" vertical="center"/>
      <protection/>
    </xf>
    <xf numFmtId="0" fontId="5" fillId="0" borderId="75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top"/>
      <protection/>
    </xf>
    <xf numFmtId="0" fontId="5" fillId="0" borderId="77" xfId="0" applyFont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left" vertical="center"/>
      <protection/>
    </xf>
    <xf numFmtId="0" fontId="9" fillId="0" borderId="63" xfId="0" applyFont="1" applyBorder="1" applyAlignment="1" applyProtection="1">
      <alignment horizontal="left" vertical="center"/>
      <protection/>
    </xf>
    <xf numFmtId="0" fontId="11" fillId="0" borderId="54" xfId="0" applyFont="1" applyBorder="1" applyAlignment="1" applyProtection="1">
      <alignment horizontal="left" vertical="center"/>
      <protection/>
    </xf>
    <xf numFmtId="165" fontId="12" fillId="0" borderId="24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5" fillId="0" borderId="77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169" fontId="9" fillId="0" borderId="77" xfId="0" applyNumberFormat="1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horizontal="left" vertical="center"/>
      <protection/>
    </xf>
    <xf numFmtId="169" fontId="9" fillId="0" borderId="72" xfId="0" applyNumberFormat="1" applyFont="1" applyBorder="1" applyAlignment="1" applyProtection="1">
      <alignment horizontal="right" vertical="center"/>
      <protection/>
    </xf>
    <xf numFmtId="169" fontId="9" fillId="0" borderId="0" xfId="0" applyNumberFormat="1" applyFont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left" vertical="center"/>
      <protection/>
    </xf>
    <xf numFmtId="0" fontId="5" fillId="0" borderId="7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169" fontId="9" fillId="0" borderId="74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169" fontId="9" fillId="0" borderId="63" xfId="0" applyNumberFormat="1" applyFont="1" applyBorder="1" applyAlignment="1" applyProtection="1">
      <alignment horizontal="right" vertical="center"/>
      <protection/>
    </xf>
    <xf numFmtId="0" fontId="5" fillId="0" borderId="62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169" fontId="9" fillId="0" borderId="62" xfId="0" applyNumberFormat="1" applyFont="1" applyBorder="1" applyAlignment="1" applyProtection="1">
      <alignment horizontal="right" vertical="center"/>
      <protection/>
    </xf>
    <xf numFmtId="49" fontId="9" fillId="0" borderId="59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167" fontId="0" fillId="0" borderId="51" xfId="0" applyNumberFormat="1" applyFont="1" applyBorder="1" applyAlignment="1" applyProtection="1">
      <alignment horizontal="right" vertical="center"/>
      <protection/>
    </xf>
    <xf numFmtId="167" fontId="0" fillId="0" borderId="52" xfId="0" applyNumberFormat="1" applyFont="1" applyBorder="1" applyAlignment="1" applyProtection="1">
      <alignment horizontal="right" vertical="center"/>
      <protection/>
    </xf>
    <xf numFmtId="167" fontId="18" fillId="0" borderId="53" xfId="0" applyNumberFormat="1" applyFont="1" applyBorder="1" applyAlignment="1" applyProtection="1">
      <alignment horizontal="right" vertical="center"/>
      <protection/>
    </xf>
    <xf numFmtId="165" fontId="18" fillId="0" borderId="54" xfId="0" applyNumberFormat="1" applyFont="1" applyBorder="1" applyAlignment="1" applyProtection="1">
      <alignment horizontal="right" vertical="center"/>
      <protection/>
    </xf>
    <xf numFmtId="167" fontId="0" fillId="0" borderId="53" xfId="0" applyNumberFormat="1" applyFont="1" applyBorder="1" applyAlignment="1" applyProtection="1">
      <alignment horizontal="right" vertical="center"/>
      <protection/>
    </xf>
    <xf numFmtId="167" fontId="0" fillId="0" borderId="54" xfId="0" applyNumberFormat="1" applyFont="1" applyBorder="1" applyAlignment="1" applyProtection="1">
      <alignment horizontal="right" vertical="center"/>
      <protection/>
    </xf>
    <xf numFmtId="167" fontId="18" fillId="0" borderId="52" xfId="0" applyNumberFormat="1" applyFont="1" applyBorder="1" applyAlignment="1" applyProtection="1">
      <alignment horizontal="right" vertical="center"/>
      <protection/>
    </xf>
    <xf numFmtId="165" fontId="18" fillId="0" borderId="52" xfId="0" applyNumberFormat="1" applyFont="1" applyBorder="1" applyAlignment="1" applyProtection="1">
      <alignment horizontal="right" vertical="center"/>
      <protection/>
    </xf>
    <xf numFmtId="167" fontId="0" fillId="0" borderId="55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13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9" fontId="5" fillId="0" borderId="56" xfId="0" applyNumberFormat="1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165" fontId="18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165" fontId="0" fillId="0" borderId="60" xfId="0" applyNumberFormat="1" applyFont="1" applyBorder="1" applyAlignment="1" applyProtection="1">
      <alignment horizontal="right" vertical="center"/>
      <protection/>
    </xf>
    <xf numFmtId="167" fontId="0" fillId="0" borderId="63" xfId="0" applyNumberFormat="1" applyFont="1" applyBorder="1" applyAlignment="1" applyProtection="1">
      <alignment horizontal="right" vertical="center"/>
      <protection/>
    </xf>
    <xf numFmtId="0" fontId="19" fillId="0" borderId="63" xfId="0" applyFont="1" applyBorder="1" applyAlignment="1" applyProtection="1">
      <alignment horizontal="right" vertical="center"/>
      <protection/>
    </xf>
    <xf numFmtId="0" fontId="19" fillId="0" borderId="62" xfId="0" applyFont="1" applyBorder="1" applyAlignment="1" applyProtection="1">
      <alignment horizontal="left" vertic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169" fontId="5" fillId="0" borderId="66" xfId="0" applyNumberFormat="1" applyFont="1" applyBorder="1" applyAlignment="1" applyProtection="1">
      <alignment horizontal="center" vertical="center"/>
      <protection/>
    </xf>
    <xf numFmtId="167" fontId="0" fillId="0" borderId="60" xfId="0" applyNumberFormat="1" applyFont="1" applyBorder="1" applyAlignment="1" applyProtection="1">
      <alignment horizontal="right" vertical="center"/>
      <protection/>
    </xf>
    <xf numFmtId="0" fontId="6" fillId="0" borderId="60" xfId="0" applyFont="1" applyBorder="1" applyAlignment="1" applyProtection="1">
      <alignment horizontal="left" vertical="center"/>
      <protection/>
    </xf>
    <xf numFmtId="165" fontId="18" fillId="0" borderId="13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167" fontId="0" fillId="0" borderId="15" xfId="0" applyNumberFormat="1" applyFont="1" applyBorder="1" applyAlignment="1" applyProtection="1">
      <alignment horizontal="right" vertical="center"/>
      <protection/>
    </xf>
    <xf numFmtId="0" fontId="5" fillId="0" borderId="79" xfId="0" applyFont="1" applyBorder="1" applyAlignment="1" applyProtection="1">
      <alignment horizontal="left" vertical="center"/>
      <protection/>
    </xf>
    <xf numFmtId="169" fontId="5" fillId="0" borderId="67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165" fontId="18" fillId="0" borderId="68" xfId="0" applyNumberFormat="1" applyFont="1" applyBorder="1" applyAlignment="1" applyProtection="1">
      <alignment horizontal="right" vertical="center"/>
      <protection/>
    </xf>
    <xf numFmtId="165" fontId="18" fillId="0" borderId="14" xfId="0" applyNumberFormat="1" applyFont="1" applyBorder="1" applyAlignment="1" applyProtection="1">
      <alignment horizontal="right" vertical="center"/>
      <protection/>
    </xf>
    <xf numFmtId="167" fontId="20" fillId="0" borderId="44" xfId="0" applyNumberFormat="1" applyFont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horizontal="left" vertical="top"/>
      <protection/>
    </xf>
    <xf numFmtId="0" fontId="5" fillId="0" borderId="69" xfId="0" applyFont="1" applyBorder="1" applyAlignment="1" applyProtection="1">
      <alignment horizontal="left" vertical="center"/>
      <protection/>
    </xf>
    <xf numFmtId="0" fontId="5" fillId="0" borderId="70" xfId="0" applyFont="1" applyBorder="1" applyAlignment="1" applyProtection="1">
      <alignment horizontal="left" vertical="center"/>
      <protection/>
    </xf>
    <xf numFmtId="0" fontId="5" fillId="0" borderId="72" xfId="0" applyFont="1" applyBorder="1" applyAlignment="1" applyProtection="1">
      <alignment horizontal="left" vertical="center"/>
      <protection/>
    </xf>
    <xf numFmtId="0" fontId="5" fillId="0" borderId="7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167" fontId="9" fillId="0" borderId="64" xfId="0" applyNumberFormat="1" applyFont="1" applyBorder="1" applyAlignment="1" applyProtection="1">
      <alignment horizontal="right" vertical="center"/>
      <protection/>
    </xf>
    <xf numFmtId="165" fontId="9" fillId="0" borderId="60" xfId="0" applyNumberFormat="1" applyFont="1" applyBorder="1" applyAlignment="1" applyProtection="1">
      <alignment horizontal="right" vertical="center"/>
      <protection/>
    </xf>
    <xf numFmtId="165" fontId="18" fillId="0" borderId="64" xfId="0" applyNumberFormat="1" applyFont="1" applyBorder="1" applyAlignment="1" applyProtection="1">
      <alignment horizontal="right" vertical="center"/>
      <protection/>
    </xf>
    <xf numFmtId="0" fontId="5" fillId="0" borderId="75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top"/>
      <protection/>
    </xf>
    <xf numFmtId="0" fontId="5" fillId="0" borderId="57" xfId="0" applyFont="1" applyBorder="1" applyAlignment="1" applyProtection="1">
      <alignment horizontal="left" vertical="center"/>
      <protection/>
    </xf>
    <xf numFmtId="167" fontId="9" fillId="0" borderId="60" xfId="0" applyNumberFormat="1" applyFont="1" applyBorder="1" applyAlignment="1" applyProtection="1">
      <alignment horizontal="right" vertical="center"/>
      <protection/>
    </xf>
    <xf numFmtId="0" fontId="11" fillId="0" borderId="54" xfId="0" applyFont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/>
      <protection/>
    </xf>
    <xf numFmtId="165" fontId="12" fillId="0" borderId="24" xfId="0" applyNumberFormat="1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9" fillId="34" borderId="81" xfId="0" applyFont="1" applyFill="1" applyBorder="1" applyAlignment="1" applyProtection="1">
      <alignment horizontal="center" vertical="center" wrapText="1"/>
      <protection/>
    </xf>
    <xf numFmtId="0" fontId="9" fillId="34" borderId="82" xfId="0" applyFont="1" applyFill="1" applyBorder="1" applyAlignment="1" applyProtection="1">
      <alignment horizontal="center" vertical="center" wrapText="1"/>
      <protection/>
    </xf>
    <xf numFmtId="0" fontId="9" fillId="34" borderId="83" xfId="0" applyFont="1" applyFill="1" applyBorder="1" applyAlignment="1" applyProtection="1">
      <alignment horizontal="center" vertical="center" wrapText="1"/>
      <protection/>
    </xf>
    <xf numFmtId="0" fontId="9" fillId="34" borderId="48" xfId="0" applyFont="1" applyFill="1" applyBorder="1" applyAlignment="1" applyProtection="1">
      <alignment horizontal="center" vertical="center" wrapText="1"/>
      <protection/>
    </xf>
    <xf numFmtId="169" fontId="9" fillId="34" borderId="67" xfId="0" applyNumberFormat="1" applyFont="1" applyFill="1" applyBorder="1" applyAlignment="1" applyProtection="1">
      <alignment horizontal="center" vertical="center"/>
      <protection/>
    </xf>
    <xf numFmtId="169" fontId="9" fillId="34" borderId="84" xfId="0" applyNumberFormat="1" applyFont="1" applyFill="1" applyBorder="1" applyAlignment="1" applyProtection="1">
      <alignment horizontal="center" vertical="center"/>
      <protection/>
    </xf>
    <xf numFmtId="169" fontId="9" fillId="34" borderId="85" xfId="0" applyNumberFormat="1" applyFont="1" applyFill="1" applyBorder="1" applyAlignment="1" applyProtection="1">
      <alignment horizontal="center" vertical="center"/>
      <protection/>
    </xf>
    <xf numFmtId="169" fontId="9" fillId="34" borderId="53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165" fontId="25" fillId="0" borderId="0" xfId="0" applyNumberFormat="1" applyFont="1" applyAlignment="1" applyProtection="1">
      <alignment horizontal="right" vertical="center"/>
      <protection/>
    </xf>
    <xf numFmtId="170" fontId="25" fillId="0" borderId="0" xfId="0" applyNumberFormat="1" applyFont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4" borderId="48" xfId="0" applyFont="1" applyFill="1" applyBorder="1" applyAlignment="1" applyProtection="1">
      <alignment horizontal="center" vertical="center" wrapText="1"/>
      <protection/>
    </xf>
    <xf numFmtId="0" fontId="5" fillId="34" borderId="83" xfId="0" applyFont="1" applyFill="1" applyBorder="1" applyAlignment="1" applyProtection="1">
      <alignment horizontal="center" vertical="center" wrapText="1"/>
      <protection/>
    </xf>
    <xf numFmtId="169" fontId="5" fillId="34" borderId="53" xfId="0" applyNumberFormat="1" applyFont="1" applyFill="1" applyBorder="1" applyAlignment="1" applyProtection="1">
      <alignment horizontal="center" vertical="center"/>
      <protection/>
    </xf>
    <xf numFmtId="169" fontId="5" fillId="34" borderId="85" xfId="0" applyNumberFormat="1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167" fontId="26" fillId="0" borderId="0" xfId="0" applyNumberFormat="1" applyFont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left" vertical="top"/>
      <protection/>
    </xf>
    <xf numFmtId="0" fontId="14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35" borderId="0" xfId="63" applyFill="1" applyAlignment="1">
      <alignment/>
      <protection/>
    </xf>
    <xf numFmtId="4" fontId="7" fillId="35" borderId="0" xfId="63" applyNumberFormat="1" applyFont="1" applyFill="1" applyBorder="1" applyAlignment="1" applyProtection="1">
      <alignment wrapText="1"/>
      <protection/>
    </xf>
    <xf numFmtId="0" fontId="28" fillId="35" borderId="0" xfId="61" applyNumberFormat="1" applyFont="1" applyFill="1" applyBorder="1" applyAlignment="1" applyProtection="1">
      <alignment wrapText="1"/>
      <protection/>
    </xf>
    <xf numFmtId="3" fontId="7" fillId="35" borderId="0" xfId="63" applyNumberFormat="1" applyFont="1" applyFill="1" applyBorder="1" applyAlignment="1" applyProtection="1">
      <alignment wrapText="1"/>
      <protection/>
    </xf>
    <xf numFmtId="3" fontId="3" fillId="35" borderId="0" xfId="63" applyNumberFormat="1" applyFill="1" applyAlignment="1">
      <alignment/>
      <protection/>
    </xf>
    <xf numFmtId="0" fontId="5" fillId="0" borderId="86" xfId="61" applyFont="1" applyBorder="1" applyAlignment="1">
      <alignment horizontal="left" wrapText="1"/>
      <protection/>
    </xf>
    <xf numFmtId="0" fontId="6" fillId="35" borderId="87" xfId="61" applyFont="1" applyFill="1" applyBorder="1">
      <alignment/>
      <protection/>
    </xf>
    <xf numFmtId="3" fontId="3" fillId="35" borderId="0" xfId="63" applyNumberFormat="1" applyFill="1" applyAlignment="1">
      <alignment horizontal="right"/>
      <protection/>
    </xf>
    <xf numFmtId="0" fontId="3" fillId="35" borderId="0" xfId="64" applyFill="1" applyAlignment="1">
      <alignment/>
      <protection/>
    </xf>
    <xf numFmtId="0" fontId="3" fillId="35" borderId="0" xfId="63" applyFill="1" applyAlignment="1">
      <alignment horizontal="righ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165" fontId="16" fillId="0" borderId="0" xfId="0" applyNumberFormat="1" applyFont="1" applyBorder="1" applyAlignment="1" applyProtection="1">
      <alignment horizontal="right"/>
      <protection/>
    </xf>
    <xf numFmtId="0" fontId="6" fillId="34" borderId="88" xfId="0" applyFont="1" applyFill="1" applyBorder="1" applyAlignment="1" applyProtection="1">
      <alignment horizontal="center" vertical="center"/>
      <protection/>
    </xf>
    <xf numFmtId="0" fontId="6" fillId="34" borderId="89" xfId="0" applyFont="1" applyFill="1" applyBorder="1" applyAlignment="1" applyProtection="1">
      <alignment horizontal="center" vertical="center"/>
      <protection/>
    </xf>
    <xf numFmtId="0" fontId="6" fillId="34" borderId="89" xfId="0" applyFont="1" applyFill="1" applyBorder="1" applyAlignment="1" applyProtection="1">
      <alignment horizontal="center" vertical="center"/>
      <protection/>
    </xf>
    <xf numFmtId="0" fontId="6" fillId="34" borderId="90" xfId="0" applyFont="1" applyFill="1" applyBorder="1" applyAlignment="1" applyProtection="1">
      <alignment horizontal="center" vertical="center"/>
      <protection/>
    </xf>
    <xf numFmtId="0" fontId="5" fillId="33" borderId="91" xfId="0" applyFont="1" applyFill="1" applyBorder="1" applyAlignment="1" applyProtection="1">
      <alignment horizontal="left"/>
      <protection/>
    </xf>
    <xf numFmtId="0" fontId="5" fillId="33" borderId="92" xfId="0" applyFont="1" applyFill="1" applyBorder="1" applyAlignment="1" applyProtection="1">
      <alignment horizontal="left"/>
      <protection/>
    </xf>
    <xf numFmtId="0" fontId="3" fillId="33" borderId="92" xfId="0" applyFont="1" applyFill="1" applyBorder="1" applyAlignment="1" applyProtection="1">
      <alignment horizontal="left"/>
      <protection/>
    </xf>
    <xf numFmtId="0" fontId="3" fillId="33" borderId="93" xfId="0" applyFont="1" applyFill="1" applyBorder="1" applyAlignment="1" applyProtection="1">
      <alignment horizontal="left"/>
      <protection/>
    </xf>
    <xf numFmtId="0" fontId="7" fillId="0" borderId="91" xfId="0" applyFont="1" applyBorder="1" applyAlignment="1" applyProtection="1">
      <alignment horizontal="left" wrapText="1"/>
      <protection/>
    </xf>
    <xf numFmtId="0" fontId="7" fillId="0" borderId="92" xfId="0" applyFont="1" applyBorder="1" applyAlignment="1" applyProtection="1">
      <alignment horizontal="left" wrapText="1"/>
      <protection/>
    </xf>
    <xf numFmtId="165" fontId="7" fillId="0" borderId="92" xfId="0" applyNumberFormat="1" applyFont="1" applyBorder="1" applyAlignment="1" applyProtection="1">
      <alignment horizontal="right"/>
      <protection/>
    </xf>
    <xf numFmtId="165" fontId="7" fillId="0" borderId="93" xfId="0" applyNumberFormat="1" applyFont="1" applyBorder="1" applyAlignment="1" applyProtection="1">
      <alignment horizontal="right"/>
      <protection/>
    </xf>
    <xf numFmtId="0" fontId="9" fillId="0" borderId="91" xfId="0" applyFont="1" applyBorder="1" applyAlignment="1" applyProtection="1">
      <alignment horizontal="left" wrapText="1"/>
      <protection/>
    </xf>
    <xf numFmtId="0" fontId="9" fillId="0" borderId="92" xfId="0" applyFont="1" applyBorder="1" applyAlignment="1" applyProtection="1">
      <alignment horizontal="left" wrapText="1"/>
      <protection/>
    </xf>
    <xf numFmtId="165" fontId="7" fillId="0" borderId="92" xfId="0" applyNumberFormat="1" applyFont="1" applyFill="1" applyBorder="1" applyAlignment="1" applyProtection="1">
      <alignment horizontal="right"/>
      <protection/>
    </xf>
    <xf numFmtId="165" fontId="9" fillId="0" borderId="92" xfId="0" applyNumberFormat="1" applyFont="1" applyFill="1" applyBorder="1" applyAlignment="1" applyProtection="1">
      <alignment horizontal="right"/>
      <protection/>
    </xf>
    <xf numFmtId="165" fontId="9" fillId="0" borderId="93" xfId="0" applyNumberFormat="1" applyFont="1" applyFill="1" applyBorder="1" applyAlignment="1" applyProtection="1">
      <alignment horizontal="right"/>
      <protection/>
    </xf>
    <xf numFmtId="0" fontId="9" fillId="0" borderId="92" xfId="0" applyFont="1" applyBorder="1" applyAlignment="1" applyProtection="1">
      <alignment horizontal="center" wrapText="1"/>
      <protection/>
    </xf>
    <xf numFmtId="165" fontId="9" fillId="0" borderId="92" xfId="0" applyNumberFormat="1" applyFont="1" applyBorder="1" applyAlignment="1" applyProtection="1">
      <alignment horizontal="right"/>
      <protection/>
    </xf>
    <xf numFmtId="165" fontId="9" fillId="0" borderId="93" xfId="0" applyNumberFormat="1" applyFont="1" applyBorder="1" applyAlignment="1" applyProtection="1">
      <alignment horizontal="right"/>
      <protection/>
    </xf>
    <xf numFmtId="0" fontId="9" fillId="0" borderId="92" xfId="0" applyFont="1" applyFill="1" applyBorder="1" applyAlignment="1" applyProtection="1">
      <alignment horizontal="left" wrapText="1"/>
      <protection/>
    </xf>
    <xf numFmtId="0" fontId="0" fillId="0" borderId="91" xfId="0" applyBorder="1" applyAlignment="1" applyProtection="1">
      <alignment horizontal="left" vertical="top"/>
      <protection locked="0"/>
    </xf>
    <xf numFmtId="0" fontId="0" fillId="0" borderId="94" xfId="0" applyBorder="1" applyAlignment="1" applyProtection="1">
      <alignment horizontal="left" vertical="top"/>
      <protection locked="0"/>
    </xf>
    <xf numFmtId="0" fontId="9" fillId="0" borderId="95" xfId="0" applyFont="1" applyBorder="1" applyAlignment="1" applyProtection="1">
      <alignment horizontal="center" wrapText="1"/>
      <protection/>
    </xf>
    <xf numFmtId="0" fontId="7" fillId="0" borderId="95" xfId="0" applyFont="1" applyBorder="1" applyAlignment="1" applyProtection="1">
      <alignment horizontal="left" wrapText="1"/>
      <protection/>
    </xf>
    <xf numFmtId="165" fontId="9" fillId="0" borderId="96" xfId="0" applyNumberFormat="1" applyFont="1" applyBorder="1" applyAlignment="1" applyProtection="1">
      <alignment horizontal="right"/>
      <protection/>
    </xf>
    <xf numFmtId="0" fontId="12" fillId="0" borderId="92" xfId="0" applyFont="1" applyFill="1" applyBorder="1" applyAlignment="1" applyProtection="1">
      <alignment horizontal="left" wrapText="1"/>
      <protection/>
    </xf>
    <xf numFmtId="0" fontId="41" fillId="0" borderId="0" xfId="0" applyFont="1" applyBorder="1" applyAlignment="1" applyProtection="1">
      <alignment horizontal="left" wrapText="1"/>
      <protection/>
    </xf>
    <xf numFmtId="165" fontId="41" fillId="0" borderId="0" xfId="0" applyNumberFormat="1" applyFont="1" applyBorder="1" applyAlignment="1" applyProtection="1">
      <alignment horizontal="right"/>
      <protection/>
    </xf>
    <xf numFmtId="165" fontId="42" fillId="0" borderId="92" xfId="0" applyNumberFormat="1" applyFont="1" applyBorder="1" applyAlignment="1" applyProtection="1">
      <alignment horizontal="right"/>
      <protection/>
    </xf>
    <xf numFmtId="0" fontId="0" fillId="0" borderId="97" xfId="0" applyBorder="1" applyAlignment="1" applyProtection="1">
      <alignment horizontal="left" vertical="top"/>
      <protection locked="0"/>
    </xf>
    <xf numFmtId="0" fontId="9" fillId="0" borderId="98" xfId="0" applyFont="1" applyBorder="1" applyAlignment="1" applyProtection="1">
      <alignment horizontal="left" wrapText="1"/>
      <protection/>
    </xf>
    <xf numFmtId="0" fontId="9" fillId="36" borderId="98" xfId="0" applyFont="1" applyFill="1" applyBorder="1" applyAlignment="1" applyProtection="1">
      <alignment horizontal="center" wrapText="1"/>
      <protection/>
    </xf>
    <xf numFmtId="0" fontId="7" fillId="36" borderId="98" xfId="0" applyFont="1" applyFill="1" applyBorder="1" applyAlignment="1" applyProtection="1">
      <alignment horizontal="left" wrapText="1"/>
      <protection/>
    </xf>
    <xf numFmtId="165" fontId="9" fillId="36" borderId="98" xfId="0" applyNumberFormat="1" applyFont="1" applyFill="1" applyBorder="1" applyAlignment="1" applyProtection="1">
      <alignment horizontal="right"/>
      <protection/>
    </xf>
    <xf numFmtId="165" fontId="9" fillId="36" borderId="99" xfId="0" applyNumberFormat="1" applyFont="1" applyFill="1" applyBorder="1" applyAlignment="1" applyProtection="1">
      <alignment horizontal="right"/>
      <protection/>
    </xf>
    <xf numFmtId="165" fontId="42" fillId="0" borderId="93" xfId="0" applyNumberFormat="1" applyFont="1" applyBorder="1" applyAlignment="1" applyProtection="1">
      <alignment horizontal="right"/>
      <protection/>
    </xf>
    <xf numFmtId="0" fontId="9" fillId="0" borderId="95" xfId="0" applyFont="1" applyFill="1" applyBorder="1" applyAlignment="1" applyProtection="1">
      <alignment horizontal="left" wrapText="1"/>
      <protection/>
    </xf>
    <xf numFmtId="165" fontId="9" fillId="0" borderId="95" xfId="0" applyNumberFormat="1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/>
    </xf>
    <xf numFmtId="0" fontId="24" fillId="0" borderId="3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170" fontId="5" fillId="0" borderId="3" xfId="0" applyNumberFormat="1" applyFont="1" applyBorder="1" applyAlignment="1" applyProtection="1">
      <alignment horizontal="right" vertical="center"/>
      <protection/>
    </xf>
    <xf numFmtId="165" fontId="5" fillId="0" borderId="3" xfId="0" applyNumberFormat="1" applyFont="1" applyBorder="1" applyAlignment="1" applyProtection="1">
      <alignment horizontal="right" vertical="center"/>
      <protection/>
    </xf>
    <xf numFmtId="167" fontId="9" fillId="0" borderId="3" xfId="0" applyNumberFormat="1" applyFont="1" applyBorder="1" applyAlignment="1" applyProtection="1">
      <alignment horizontal="center" vertical="center"/>
      <protection locked="0"/>
    </xf>
    <xf numFmtId="167" fontId="7" fillId="0" borderId="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/>
    </xf>
    <xf numFmtId="167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5" fillId="0" borderId="0" xfId="0" applyNumberFormat="1" applyFont="1" applyBorder="1" applyAlignment="1" applyProtection="1">
      <alignment horizontal="right" vertical="center"/>
      <protection/>
    </xf>
    <xf numFmtId="167" fontId="26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 vertical="center" wrapText="1"/>
      <protection locked="0"/>
    </xf>
    <xf numFmtId="14" fontId="9" fillId="33" borderId="0" xfId="0" applyNumberFormat="1" applyFont="1" applyFill="1" applyAlignment="1" applyProtection="1">
      <alignment horizontal="left"/>
      <protection/>
    </xf>
    <xf numFmtId="165" fontId="41" fillId="0" borderId="0" xfId="0" applyNumberFormat="1" applyFont="1" applyBorder="1" applyAlignment="1" applyProtection="1">
      <alignment horizontal="right"/>
      <protection/>
    </xf>
    <xf numFmtId="0" fontId="6" fillId="34" borderId="89" xfId="0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/>
      <protection/>
    </xf>
    <xf numFmtId="49" fontId="5" fillId="0" borderId="3" xfId="0" applyNumberFormat="1" applyFont="1" applyBorder="1" applyAlignment="1" applyProtection="1">
      <alignment horizontal="left" vertical="top"/>
      <protection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center" vertical="center"/>
      <protection/>
    </xf>
    <xf numFmtId="0" fontId="9" fillId="0" borderId="92" xfId="0" applyNumberFormat="1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left" vertical="center" wrapText="1"/>
      <protection locked="0"/>
    </xf>
    <xf numFmtId="0" fontId="5" fillId="0" borderId="92" xfId="0" applyFont="1" applyBorder="1" applyAlignment="1" applyProtection="1">
      <alignment horizontal="left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170" fontId="5" fillId="0" borderId="92" xfId="0" applyNumberFormat="1" applyFont="1" applyBorder="1" applyAlignment="1" applyProtection="1">
      <alignment horizontal="right" vertical="center"/>
      <protection/>
    </xf>
    <xf numFmtId="165" fontId="5" fillId="0" borderId="92" xfId="0" applyNumberFormat="1" applyFont="1" applyBorder="1" applyAlignment="1" applyProtection="1">
      <alignment horizontal="right" vertical="center"/>
      <protection/>
    </xf>
    <xf numFmtId="171" fontId="5" fillId="0" borderId="92" xfId="0" applyNumberFormat="1" applyFont="1" applyBorder="1" applyAlignment="1" applyProtection="1">
      <alignment horizontal="right" vertical="center"/>
      <protection/>
    </xf>
    <xf numFmtId="164" fontId="5" fillId="0" borderId="93" xfId="0" applyNumberFormat="1" applyFont="1" applyBorder="1" applyAlignment="1" applyProtection="1">
      <alignment horizontal="right" vertical="center"/>
      <protection/>
    </xf>
    <xf numFmtId="167" fontId="5" fillId="0" borderId="0" xfId="0" applyNumberFormat="1" applyFont="1" applyAlignment="1" applyProtection="1">
      <alignment horizontal="right" vertical="center"/>
      <protection/>
    </xf>
    <xf numFmtId="0" fontId="6" fillId="35" borderId="3" xfId="61" applyFont="1" applyFill="1" applyBorder="1">
      <alignment/>
      <protection/>
    </xf>
    <xf numFmtId="0" fontId="5" fillId="0" borderId="3" xfId="61" applyFont="1" applyBorder="1" applyAlignment="1">
      <alignment horizontal="left" wrapText="1"/>
      <protection/>
    </xf>
    <xf numFmtId="0" fontId="5" fillId="0" borderId="3" xfId="56" applyFont="1" applyFill="1" applyBorder="1" applyAlignment="1">
      <alignment wrapText="1"/>
      <protection locked="0"/>
    </xf>
    <xf numFmtId="0" fontId="6" fillId="0" borderId="100" xfId="61" applyFont="1" applyBorder="1" applyAlignment="1">
      <alignment wrapText="1"/>
      <protection/>
    </xf>
    <xf numFmtId="0" fontId="5" fillId="0" borderId="3" xfId="61" applyFont="1" applyBorder="1" applyAlignment="1">
      <alignment wrapText="1"/>
      <protection/>
    </xf>
    <xf numFmtId="3" fontId="5" fillId="35" borderId="3" xfId="63" applyNumberFormat="1" applyFont="1" applyFill="1" applyBorder="1" applyAlignment="1">
      <alignment/>
      <protection/>
    </xf>
    <xf numFmtId="0" fontId="6" fillId="35" borderId="101" xfId="61" applyFont="1" applyFill="1" applyBorder="1">
      <alignment/>
      <protection/>
    </xf>
    <xf numFmtId="0" fontId="5" fillId="0" borderId="3" xfId="56" applyFont="1" applyBorder="1" applyAlignment="1">
      <alignment wrapText="1"/>
      <protection locked="0"/>
    </xf>
    <xf numFmtId="3" fontId="7" fillId="35" borderId="101" xfId="63" applyNumberFormat="1" applyFont="1" applyFill="1" applyBorder="1" applyAlignment="1" applyProtection="1">
      <alignment horizontal="right" wrapText="1"/>
      <protection/>
    </xf>
    <xf numFmtId="0" fontId="5" fillId="0" borderId="3" xfId="61" applyFont="1" applyBorder="1">
      <alignment/>
      <protection/>
    </xf>
    <xf numFmtId="0" fontId="5" fillId="35" borderId="3" xfId="61" applyFont="1" applyFill="1" applyBorder="1" applyAlignment="1">
      <alignment wrapText="1"/>
      <protection/>
    </xf>
    <xf numFmtId="3" fontId="7" fillId="35" borderId="3" xfId="63" applyNumberFormat="1" applyFont="1" applyFill="1" applyBorder="1" applyAlignment="1" applyProtection="1">
      <alignment horizontal="right" wrapText="1"/>
      <protection/>
    </xf>
    <xf numFmtId="0" fontId="5" fillId="0" borderId="3" xfId="56" applyFont="1" applyBorder="1" applyAlignment="1">
      <alignment horizontal="left"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6" fillId="0" borderId="3" xfId="0" applyFont="1" applyBorder="1" applyAlignment="1" applyProtection="1">
      <alignment horizontal="left" vertical="center"/>
      <protection/>
    </xf>
    <xf numFmtId="165" fontId="6" fillId="0" borderId="3" xfId="0" applyNumberFormat="1" applyFont="1" applyBorder="1" applyAlignment="1" applyProtection="1">
      <alignment horizontal="right" vertical="center"/>
      <protection/>
    </xf>
    <xf numFmtId="170" fontId="6" fillId="0" borderId="3" xfId="0" applyNumberFormat="1" applyFont="1" applyBorder="1" applyAlignment="1" applyProtection="1">
      <alignment horizontal="right" vertical="center"/>
      <protection/>
    </xf>
    <xf numFmtId="171" fontId="5" fillId="0" borderId="3" xfId="0" applyNumberFormat="1" applyFont="1" applyBorder="1" applyAlignment="1" applyProtection="1">
      <alignment horizontal="right" vertical="center"/>
      <protection/>
    </xf>
    <xf numFmtId="164" fontId="5" fillId="0" borderId="3" xfId="0" applyNumberFormat="1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63" fillId="0" borderId="3" xfId="0" applyFont="1" applyBorder="1" applyAlignment="1" applyProtection="1">
      <alignment horizontal="left" vertical="top"/>
      <protection/>
    </xf>
    <xf numFmtId="165" fontId="24" fillId="0" borderId="3" xfId="0" applyNumberFormat="1" applyFont="1" applyBorder="1" applyAlignment="1" applyProtection="1">
      <alignment horizontal="right" vertical="center"/>
      <protection/>
    </xf>
    <xf numFmtId="170" fontId="24" fillId="0" borderId="3" xfId="0" applyNumberFormat="1" applyFont="1" applyBorder="1" applyAlignment="1" applyProtection="1">
      <alignment horizontal="right" vertical="center"/>
      <protection/>
    </xf>
    <xf numFmtId="0" fontId="6" fillId="0" borderId="91" xfId="0" applyFont="1" applyBorder="1" applyAlignment="1" applyProtection="1">
      <alignment horizontal="left" vertical="center"/>
      <protection/>
    </xf>
    <xf numFmtId="0" fontId="6" fillId="0" borderId="92" xfId="0" applyFont="1" applyBorder="1" applyAlignment="1" applyProtection="1">
      <alignment horizontal="left" vertical="center"/>
      <protection/>
    </xf>
    <xf numFmtId="165" fontId="6" fillId="0" borderId="92" xfId="0" applyNumberFormat="1" applyFont="1" applyBorder="1" applyAlignment="1" applyProtection="1">
      <alignment horizontal="right" vertical="center"/>
      <protection/>
    </xf>
    <xf numFmtId="170" fontId="6" fillId="0" borderId="92" xfId="0" applyNumberFormat="1" applyFont="1" applyBorder="1" applyAlignment="1" applyProtection="1">
      <alignment horizontal="right" vertical="center"/>
      <protection/>
    </xf>
    <xf numFmtId="0" fontId="6" fillId="0" borderId="93" xfId="0" applyFont="1" applyBorder="1" applyAlignment="1" applyProtection="1">
      <alignment horizontal="left" vertical="center"/>
      <protection/>
    </xf>
    <xf numFmtId="0" fontId="6" fillId="0" borderId="102" xfId="0" applyFont="1" applyBorder="1" applyAlignment="1" applyProtection="1">
      <alignment horizontal="left" vertical="center"/>
      <protection/>
    </xf>
    <xf numFmtId="0" fontId="6" fillId="0" borderId="103" xfId="0" applyFont="1" applyBorder="1" applyAlignment="1" applyProtection="1">
      <alignment horizontal="left" vertical="center"/>
      <protection/>
    </xf>
    <xf numFmtId="165" fontId="6" fillId="0" borderId="103" xfId="0" applyNumberFormat="1" applyFont="1" applyBorder="1" applyAlignment="1" applyProtection="1">
      <alignment horizontal="right" vertical="center"/>
      <protection/>
    </xf>
    <xf numFmtId="170" fontId="6" fillId="0" borderId="103" xfId="0" applyNumberFormat="1" applyFont="1" applyBorder="1" applyAlignment="1" applyProtection="1">
      <alignment horizontal="right" vertical="center"/>
      <protection/>
    </xf>
    <xf numFmtId="0" fontId="6" fillId="0" borderId="104" xfId="0" applyFont="1" applyBorder="1" applyAlignment="1" applyProtection="1">
      <alignment horizontal="left" vertical="center"/>
      <protection/>
    </xf>
    <xf numFmtId="0" fontId="43" fillId="0" borderId="3" xfId="0" applyFont="1" applyBorder="1" applyAlignment="1" applyProtection="1">
      <alignment horizontal="left" vertical="center" wrapText="1"/>
      <protection locked="0"/>
    </xf>
    <xf numFmtId="165" fontId="24" fillId="0" borderId="0" xfId="0" applyNumberFormat="1" applyFont="1" applyAlignment="1" applyProtection="1">
      <alignment horizontal="right" vertical="center"/>
      <protection/>
    </xf>
    <xf numFmtId="170" fontId="24" fillId="0" borderId="0" xfId="0" applyNumberFormat="1" applyFont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23" borderId="0" xfId="0" applyFont="1" applyFill="1" applyAlignment="1" applyProtection="1">
      <alignment horizontal="left" vertical="center"/>
      <protection/>
    </xf>
    <xf numFmtId="0" fontId="21" fillId="23" borderId="0" xfId="63" applyNumberFormat="1" applyFont="1" applyFill="1" applyAlignment="1" applyProtection="1">
      <alignment/>
      <protection/>
    </xf>
    <xf numFmtId="0" fontId="9" fillId="23" borderId="0" xfId="63" applyNumberFormat="1" applyFont="1" applyFill="1" applyAlignment="1" applyProtection="1">
      <alignment/>
      <protection/>
    </xf>
    <xf numFmtId="0" fontId="9" fillId="23" borderId="0" xfId="64" applyNumberFormat="1" applyFont="1" applyFill="1" applyAlignment="1" applyProtection="1">
      <alignment/>
      <protection/>
    </xf>
    <xf numFmtId="0" fontId="14" fillId="23" borderId="0" xfId="63" applyNumberFormat="1" applyFont="1" applyFill="1" applyAlignment="1" applyProtection="1">
      <alignment/>
      <protection/>
    </xf>
    <xf numFmtId="0" fontId="27" fillId="23" borderId="0" xfId="63" applyNumberFormat="1" applyFont="1" applyFill="1" applyAlignment="1" applyProtection="1">
      <alignment/>
      <protection/>
    </xf>
    <xf numFmtId="0" fontId="7" fillId="23" borderId="0" xfId="62" applyNumberFormat="1" applyFont="1" applyFill="1" applyAlignment="1" applyProtection="1">
      <alignment/>
      <protection/>
    </xf>
    <xf numFmtId="0" fontId="7" fillId="23" borderId="0" xfId="63" applyNumberFormat="1" applyFont="1" applyFill="1" applyAlignment="1" applyProtection="1">
      <alignment/>
      <protection/>
    </xf>
    <xf numFmtId="49" fontId="7" fillId="23" borderId="0" xfId="63" applyNumberFormat="1" applyFont="1" applyFill="1" applyAlignment="1" applyProtection="1">
      <alignment horizontal="left"/>
      <protection/>
    </xf>
    <xf numFmtId="0" fontId="7" fillId="23" borderId="0" xfId="63" applyNumberFormat="1" applyFont="1" applyFill="1" applyAlignment="1" applyProtection="1">
      <alignment horizontal="left"/>
      <protection/>
    </xf>
    <xf numFmtId="0" fontId="7" fillId="23" borderId="0" xfId="64" applyNumberFormat="1" applyFont="1" applyFill="1" applyAlignment="1" applyProtection="1">
      <alignment horizontal="left"/>
      <protection/>
    </xf>
    <xf numFmtId="0" fontId="9" fillId="23" borderId="0" xfId="65" applyNumberFormat="1" applyFont="1" applyFill="1" applyAlignment="1" applyProtection="1">
      <alignment/>
      <protection/>
    </xf>
    <xf numFmtId="173" fontId="7" fillId="35" borderId="0" xfId="63" applyNumberFormat="1" applyFont="1" applyFill="1" applyBorder="1" applyAlignment="1" applyProtection="1">
      <alignment horizontal="center" wrapText="1"/>
      <protection/>
    </xf>
    <xf numFmtId="173" fontId="7" fillId="35" borderId="0" xfId="63" applyNumberFormat="1" applyFont="1" applyFill="1" applyBorder="1" applyAlignment="1" applyProtection="1">
      <alignment wrapText="1"/>
      <protection/>
    </xf>
    <xf numFmtId="173" fontId="7" fillId="35" borderId="0" xfId="64" applyNumberFormat="1" applyFont="1" applyFill="1" applyBorder="1" applyAlignment="1" applyProtection="1">
      <alignment wrapText="1"/>
      <protection/>
    </xf>
    <xf numFmtId="174" fontId="7" fillId="35" borderId="0" xfId="63" applyNumberFormat="1" applyFont="1" applyFill="1" applyBorder="1" applyAlignment="1" applyProtection="1">
      <alignment wrapText="1"/>
      <protection/>
    </xf>
    <xf numFmtId="4" fontId="7" fillId="35" borderId="0" xfId="63" applyNumberFormat="1" applyFont="1" applyFill="1" applyBorder="1" applyAlignment="1" applyProtection="1">
      <alignment wrapText="1"/>
      <protection/>
    </xf>
    <xf numFmtId="3" fontId="7" fillId="35" borderId="0" xfId="63" applyNumberFormat="1" applyFont="1" applyFill="1" applyBorder="1" applyAlignment="1" applyProtection="1">
      <alignment wrapText="1"/>
      <protection/>
    </xf>
    <xf numFmtId="49" fontId="7" fillId="35" borderId="3" xfId="61" applyNumberFormat="1" applyFont="1" applyFill="1" applyBorder="1" applyAlignment="1" applyProtection="1">
      <alignment vertical="center" wrapText="1"/>
      <protection/>
    </xf>
    <xf numFmtId="3" fontId="9" fillId="35" borderId="3" xfId="63" applyNumberFormat="1" applyFont="1" applyFill="1" applyBorder="1" applyAlignment="1" applyProtection="1">
      <alignment horizontal="right" wrapText="1"/>
      <protection/>
    </xf>
    <xf numFmtId="4" fontId="9" fillId="35" borderId="3" xfId="63" applyNumberFormat="1" applyFont="1" applyFill="1" applyBorder="1" applyAlignment="1" applyProtection="1">
      <alignment horizontal="right" wrapText="1"/>
      <protection/>
    </xf>
    <xf numFmtId="49" fontId="7" fillId="35" borderId="3" xfId="61" applyNumberFormat="1" applyFont="1" applyFill="1" applyBorder="1" applyAlignment="1" applyProtection="1">
      <alignment vertical="center"/>
      <protection/>
    </xf>
    <xf numFmtId="49" fontId="9" fillId="35" borderId="0" xfId="61" applyNumberFormat="1" applyFont="1" applyFill="1" applyBorder="1" applyAlignment="1" applyProtection="1">
      <alignment horizontal="center" vertical="center"/>
      <protection/>
    </xf>
    <xf numFmtId="4" fontId="9" fillId="35" borderId="0" xfId="63" applyNumberFormat="1" applyFont="1" applyFill="1" applyBorder="1" applyAlignment="1" applyProtection="1">
      <alignment horizontal="right" wrapText="1"/>
      <protection/>
    </xf>
    <xf numFmtId="4" fontId="9" fillId="35" borderId="87" xfId="63" applyNumberFormat="1" applyFont="1" applyFill="1" applyBorder="1" applyAlignment="1" applyProtection="1">
      <alignment horizontal="right" wrapText="1"/>
      <protection/>
    </xf>
    <xf numFmtId="4" fontId="7" fillId="35" borderId="87" xfId="63" applyNumberFormat="1" applyFont="1" applyFill="1" applyBorder="1" applyAlignment="1" applyProtection="1">
      <alignment horizontal="right" wrapText="1"/>
      <protection/>
    </xf>
    <xf numFmtId="4" fontId="9" fillId="35" borderId="100" xfId="63" applyNumberFormat="1" applyFont="1" applyFill="1" applyBorder="1" applyAlignment="1" applyProtection="1">
      <alignment horizontal="right" wrapText="1"/>
      <protection/>
    </xf>
    <xf numFmtId="4" fontId="7" fillId="35" borderId="100" xfId="63" applyNumberFormat="1" applyFont="1" applyFill="1" applyBorder="1" applyAlignment="1" applyProtection="1">
      <alignment horizontal="right" wrapText="1"/>
      <protection/>
    </xf>
    <xf numFmtId="4" fontId="9" fillId="35" borderId="101" xfId="63" applyNumberFormat="1" applyFont="1" applyFill="1" applyBorder="1" applyAlignment="1" applyProtection="1">
      <alignment horizontal="right" wrapText="1"/>
      <protection/>
    </xf>
    <xf numFmtId="4" fontId="7" fillId="35" borderId="101" xfId="63" applyNumberFormat="1" applyFont="1" applyFill="1" applyBorder="1" applyAlignment="1" applyProtection="1">
      <alignment horizontal="right" wrapText="1"/>
      <protection/>
    </xf>
    <xf numFmtId="3" fontId="7" fillId="35" borderId="0" xfId="63" applyNumberFormat="1" applyFont="1" applyFill="1" applyBorder="1" applyAlignment="1" applyProtection="1">
      <alignment horizontal="right" wrapText="1"/>
      <protection/>
    </xf>
    <xf numFmtId="49" fontId="7" fillId="35" borderId="101" xfId="61" applyNumberFormat="1" applyFont="1" applyFill="1" applyBorder="1" applyAlignment="1" applyProtection="1">
      <alignment vertical="center"/>
      <protection/>
    </xf>
    <xf numFmtId="3" fontId="9" fillId="35" borderId="101" xfId="63" applyNumberFormat="1" applyFont="1" applyFill="1" applyBorder="1" applyAlignment="1" applyProtection="1">
      <alignment horizontal="right" wrapText="1"/>
      <protection/>
    </xf>
    <xf numFmtId="49" fontId="9" fillId="0" borderId="3" xfId="61" applyNumberFormat="1" applyFont="1" applyFill="1" applyBorder="1" applyAlignment="1" applyProtection="1">
      <alignment vertical="center" wrapText="1"/>
      <protection/>
    </xf>
    <xf numFmtId="49" fontId="9" fillId="0" borderId="105" xfId="61" applyNumberFormat="1" applyFont="1" applyFill="1" applyBorder="1" applyAlignment="1" applyProtection="1">
      <alignment vertical="center" wrapText="1"/>
      <protection/>
    </xf>
    <xf numFmtId="3" fontId="9" fillId="35" borderId="105" xfId="63" applyNumberFormat="1" applyFont="1" applyFill="1" applyBorder="1" applyAlignment="1" applyProtection="1">
      <alignment horizontal="right" wrapText="1"/>
      <protection/>
    </xf>
    <xf numFmtId="3" fontId="5" fillId="35" borderId="105" xfId="63" applyNumberFormat="1" applyFont="1" applyFill="1" applyBorder="1" applyAlignment="1">
      <alignment/>
      <protection/>
    </xf>
    <xf numFmtId="3" fontId="9" fillId="35" borderId="0" xfId="63" applyNumberFormat="1" applyFont="1" applyFill="1" applyBorder="1" applyAlignment="1" applyProtection="1">
      <alignment horizontal="right" wrapText="1"/>
      <protection/>
    </xf>
    <xf numFmtId="3" fontId="7" fillId="35" borderId="101" xfId="63" applyNumberFormat="1" applyFont="1" applyFill="1" applyBorder="1" applyAlignment="1" applyProtection="1">
      <alignment horizontal="right" wrapText="1"/>
      <protection/>
    </xf>
    <xf numFmtId="49" fontId="7" fillId="35" borderId="101" xfId="61" applyNumberFormat="1" applyFont="1" applyFill="1" applyBorder="1" applyAlignment="1" applyProtection="1">
      <alignment horizontal="left" vertical="center"/>
      <protection/>
    </xf>
    <xf numFmtId="49" fontId="9" fillId="0" borderId="3" xfId="61" applyNumberFormat="1" applyFont="1" applyFill="1" applyBorder="1" applyAlignment="1" applyProtection="1">
      <alignment horizontal="left" vertical="center" wrapText="1"/>
      <protection/>
    </xf>
    <xf numFmtId="49" fontId="9" fillId="0" borderId="3" xfId="56" applyNumberFormat="1" applyFont="1" applyFill="1" applyBorder="1" applyAlignment="1" applyProtection="1">
      <alignment vertical="center" wrapText="1"/>
      <protection/>
    </xf>
    <xf numFmtId="3" fontId="7" fillId="35" borderId="3" xfId="63" applyNumberFormat="1" applyFont="1" applyFill="1" applyBorder="1" applyAlignment="1" applyProtection="1">
      <alignment horizontal="right" wrapText="1"/>
      <protection/>
    </xf>
    <xf numFmtId="49" fontId="9" fillId="35" borderId="0" xfId="61" applyNumberFormat="1" applyFont="1" applyFill="1" applyBorder="1" applyAlignment="1" applyProtection="1">
      <alignment vertical="center"/>
      <protection/>
    </xf>
    <xf numFmtId="3" fontId="28" fillId="35" borderId="0" xfId="63" applyNumberFormat="1" applyFont="1" applyFill="1" applyBorder="1" applyAlignment="1" applyProtection="1">
      <alignment horizontal="right" wrapText="1"/>
      <protection/>
    </xf>
    <xf numFmtId="0" fontId="5" fillId="0" borderId="3" xfId="62" applyNumberFormat="1" applyFont="1" applyBorder="1" applyAlignment="1">
      <alignment wrapText="1"/>
      <protection/>
    </xf>
    <xf numFmtId="49" fontId="9" fillId="0" borderId="100" xfId="61" applyNumberFormat="1" applyFont="1" applyFill="1" applyBorder="1" applyAlignment="1" applyProtection="1">
      <alignment vertical="center" wrapText="1"/>
      <protection/>
    </xf>
    <xf numFmtId="0" fontId="85" fillId="35" borderId="3" xfId="60" applyFont="1" applyFill="1" applyBorder="1" applyAlignment="1">
      <alignment wrapText="1"/>
      <protection/>
    </xf>
    <xf numFmtId="49" fontId="9" fillId="0" borderId="3" xfId="60" applyNumberFormat="1" applyFont="1" applyFill="1" applyBorder="1" applyAlignment="1" applyProtection="1">
      <alignment horizontal="center" wrapText="1"/>
      <protection/>
    </xf>
    <xf numFmtId="3" fontId="86" fillId="0" borderId="3" xfId="60" applyNumberFormat="1" applyFont="1" applyFill="1" applyBorder="1" applyAlignment="1" applyProtection="1">
      <alignment horizontal="left" wrapText="1"/>
      <protection/>
    </xf>
    <xf numFmtId="49" fontId="9" fillId="35" borderId="3" xfId="60" applyNumberFormat="1" applyFont="1" applyFill="1" applyBorder="1" applyAlignment="1" applyProtection="1">
      <alignment/>
      <protection/>
    </xf>
    <xf numFmtId="3" fontId="9" fillId="35" borderId="3" xfId="60" applyNumberFormat="1" applyFont="1" applyFill="1" applyBorder="1" applyAlignment="1" applyProtection="1">
      <alignment horizontal="right"/>
      <protection/>
    </xf>
    <xf numFmtId="3" fontId="9" fillId="35" borderId="3" xfId="60" applyNumberFormat="1" applyFont="1" applyFill="1" applyBorder="1" applyAlignment="1" applyProtection="1">
      <alignment horizontal="right"/>
      <protection locked="0"/>
    </xf>
    <xf numFmtId="49" fontId="7" fillId="23" borderId="0" xfId="63" applyNumberFormat="1" applyFont="1" applyFill="1" applyAlignment="1" applyProtection="1">
      <alignment horizontal="left"/>
      <protection/>
    </xf>
    <xf numFmtId="49" fontId="43" fillId="35" borderId="101" xfId="60" applyNumberFormat="1" applyFont="1" applyFill="1" applyBorder="1" applyAlignment="1" applyProtection="1">
      <alignment horizontal="center"/>
      <protection/>
    </xf>
    <xf numFmtId="49" fontId="28" fillId="35" borderId="101" xfId="60" applyNumberFormat="1" applyFont="1" applyFill="1" applyBorder="1" applyAlignment="1" applyProtection="1">
      <alignment horizontal="right"/>
      <protection/>
    </xf>
    <xf numFmtId="49" fontId="28" fillId="35" borderId="101" xfId="60" applyNumberFormat="1" applyFont="1" applyFill="1" applyBorder="1" applyAlignment="1" applyProtection="1">
      <alignment vertical="center"/>
      <protection/>
    </xf>
    <xf numFmtId="49" fontId="28" fillId="35" borderId="101" xfId="61" applyNumberFormat="1" applyFont="1" applyFill="1" applyBorder="1" applyAlignment="1" applyProtection="1">
      <alignment vertical="center"/>
      <protection/>
    </xf>
    <xf numFmtId="49" fontId="43" fillId="35" borderId="101" xfId="60" applyNumberFormat="1" applyFont="1" applyFill="1" applyBorder="1" applyAlignment="1" applyProtection="1">
      <alignment/>
      <protection/>
    </xf>
    <xf numFmtId="3" fontId="43" fillId="35" borderId="101" xfId="60" applyNumberFormat="1" applyFont="1" applyFill="1" applyBorder="1" applyAlignment="1" applyProtection="1">
      <alignment horizontal="right"/>
      <protection/>
    </xf>
    <xf numFmtId="3" fontId="43" fillId="35" borderId="101" xfId="60" applyNumberFormat="1" applyFont="1" applyFill="1" applyBorder="1" applyAlignment="1" applyProtection="1">
      <alignment horizontal="right"/>
      <protection locked="0"/>
    </xf>
    <xf numFmtId="3" fontId="43" fillId="35" borderId="101" xfId="63" applyNumberFormat="1" applyFont="1" applyFill="1" applyBorder="1" applyAlignment="1" applyProtection="1">
      <alignment horizontal="right" wrapText="1"/>
      <protection/>
    </xf>
    <xf numFmtId="3" fontId="28" fillId="35" borderId="101" xfId="63" applyNumberFormat="1" applyFont="1" applyFill="1" applyBorder="1" applyAlignment="1" applyProtection="1">
      <alignment horizontal="right" wrapText="1"/>
      <protection/>
    </xf>
    <xf numFmtId="0" fontId="44" fillId="35" borderId="0" xfId="63" applyFont="1" applyFill="1" applyAlignment="1">
      <alignment/>
      <protection/>
    </xf>
    <xf numFmtId="3" fontId="9" fillId="35" borderId="3" xfId="60" applyNumberFormat="1" applyFont="1" applyFill="1" applyBorder="1" applyAlignment="1" applyProtection="1">
      <alignment horizontal="left" wrapText="1"/>
      <protection/>
    </xf>
    <xf numFmtId="49" fontId="9" fillId="35" borderId="3" xfId="60" applyNumberFormat="1" applyFont="1" applyFill="1" applyBorder="1" applyAlignment="1" applyProtection="1">
      <alignment/>
      <protection/>
    </xf>
    <xf numFmtId="0" fontId="3" fillId="35" borderId="0" xfId="63" applyFont="1" applyFill="1" applyAlignment="1">
      <alignment/>
      <protection/>
    </xf>
    <xf numFmtId="49" fontId="9" fillId="0" borderId="106" xfId="60" applyNumberFormat="1" applyFont="1" applyFill="1" applyBorder="1" applyAlignment="1" applyProtection="1">
      <alignment horizontal="center" wrapText="1"/>
      <protection/>
    </xf>
    <xf numFmtId="3" fontId="9" fillId="35" borderId="106" xfId="60" applyNumberFormat="1" applyFont="1" applyFill="1" applyBorder="1" applyAlignment="1" applyProtection="1">
      <alignment horizontal="left" wrapText="1"/>
      <protection/>
    </xf>
    <xf numFmtId="49" fontId="9" fillId="35" borderId="106" xfId="60" applyNumberFormat="1" applyFont="1" applyFill="1" applyBorder="1" applyAlignment="1" applyProtection="1">
      <alignment/>
      <protection/>
    </xf>
    <xf numFmtId="0" fontId="5" fillId="0" borderId="106" xfId="56" applyFont="1" applyBorder="1" applyAlignment="1">
      <alignment wrapText="1"/>
      <protection locked="0"/>
    </xf>
    <xf numFmtId="49" fontId="9" fillId="35" borderId="106" xfId="60" applyNumberFormat="1" applyFont="1" applyFill="1" applyBorder="1" applyAlignment="1" applyProtection="1">
      <alignment/>
      <protection/>
    </xf>
    <xf numFmtId="3" fontId="9" fillId="35" borderId="106" xfId="60" applyNumberFormat="1" applyFont="1" applyFill="1" applyBorder="1" applyAlignment="1" applyProtection="1">
      <alignment horizontal="right"/>
      <protection/>
    </xf>
    <xf numFmtId="3" fontId="9" fillId="35" borderId="106" xfId="60" applyNumberFormat="1" applyFont="1" applyFill="1" applyBorder="1" applyAlignment="1" applyProtection="1">
      <alignment horizontal="right"/>
      <protection locked="0"/>
    </xf>
    <xf numFmtId="3" fontId="9" fillId="35" borderId="106" xfId="63" applyNumberFormat="1" applyFont="1" applyFill="1" applyBorder="1" applyAlignment="1" applyProtection="1">
      <alignment horizontal="right" wrapText="1"/>
      <protection/>
    </xf>
    <xf numFmtId="3" fontId="5" fillId="35" borderId="106" xfId="63" applyNumberFormat="1" applyFont="1" applyFill="1" applyBorder="1" applyAlignment="1">
      <alignment/>
      <protection/>
    </xf>
    <xf numFmtId="49" fontId="9" fillId="35" borderId="0" xfId="60" applyNumberFormat="1" applyFont="1" applyFill="1" applyBorder="1" applyAlignment="1" applyProtection="1">
      <alignment horizontal="center"/>
      <protection/>
    </xf>
    <xf numFmtId="49" fontId="9" fillId="35" borderId="0" xfId="60" applyNumberFormat="1" applyFont="1" applyFill="1" applyBorder="1" applyAlignment="1" applyProtection="1">
      <alignment/>
      <protection/>
    </xf>
    <xf numFmtId="3" fontId="9" fillId="35" borderId="0" xfId="60" applyNumberFormat="1" applyFont="1" applyFill="1" applyBorder="1" applyAlignment="1" applyProtection="1">
      <alignment horizontal="right"/>
      <protection/>
    </xf>
    <xf numFmtId="3" fontId="9" fillId="35" borderId="0" xfId="60" applyNumberFormat="1" applyFont="1" applyFill="1" applyBorder="1" applyAlignment="1" applyProtection="1">
      <alignment horizontal="right"/>
      <protection locked="0"/>
    </xf>
    <xf numFmtId="0" fontId="28" fillId="35" borderId="0" xfId="60" applyNumberFormat="1" applyFont="1" applyFill="1" applyBorder="1" applyAlignment="1" applyProtection="1">
      <alignment horizontal="right"/>
      <protection/>
    </xf>
    <xf numFmtId="0" fontId="28" fillId="35" borderId="0" xfId="60" applyNumberFormat="1" applyFont="1" applyFill="1" applyBorder="1" applyAlignment="1" applyProtection="1">
      <alignment wrapText="1"/>
      <protection/>
    </xf>
    <xf numFmtId="49" fontId="9" fillId="35" borderId="101" xfId="60" applyNumberFormat="1" applyFont="1" applyFill="1" applyBorder="1" applyAlignment="1" applyProtection="1">
      <alignment horizontal="center"/>
      <protection/>
    </xf>
    <xf numFmtId="49" fontId="7" fillId="0" borderId="101" xfId="60" applyNumberFormat="1" applyFont="1" applyFill="1" applyBorder="1" applyAlignment="1" applyProtection="1">
      <alignment horizontal="right"/>
      <protection/>
    </xf>
    <xf numFmtId="49" fontId="7" fillId="0" borderId="101" xfId="60" applyNumberFormat="1" applyFont="1" applyFill="1" applyBorder="1" applyAlignment="1" applyProtection="1">
      <alignment vertical="center"/>
      <protection/>
    </xf>
    <xf numFmtId="49" fontId="7" fillId="35" borderId="101" xfId="60" applyNumberFormat="1" applyFont="1" applyFill="1" applyBorder="1" applyAlignment="1" applyProtection="1">
      <alignment vertical="center"/>
      <protection/>
    </xf>
    <xf numFmtId="49" fontId="9" fillId="35" borderId="101" xfId="60" applyNumberFormat="1" applyFont="1" applyFill="1" applyBorder="1" applyAlignment="1" applyProtection="1">
      <alignment/>
      <protection/>
    </xf>
    <xf numFmtId="3" fontId="9" fillId="35" borderId="101" xfId="60" applyNumberFormat="1" applyFont="1" applyFill="1" applyBorder="1" applyAlignment="1" applyProtection="1">
      <alignment horizontal="right"/>
      <protection/>
    </xf>
    <xf numFmtId="3" fontId="9" fillId="35" borderId="101" xfId="60" applyNumberFormat="1" applyFont="1" applyFill="1" applyBorder="1" applyAlignment="1" applyProtection="1">
      <alignment horizontal="right"/>
      <protection locked="0"/>
    </xf>
    <xf numFmtId="3" fontId="9" fillId="0" borderId="3" xfId="60" applyNumberFormat="1" applyFont="1" applyFill="1" applyBorder="1" applyAlignment="1" applyProtection="1">
      <alignment horizontal="left" wrapText="1"/>
      <protection/>
    </xf>
    <xf numFmtId="49" fontId="9" fillId="0" borderId="3" xfId="60" applyNumberFormat="1" applyFont="1" applyFill="1" applyBorder="1" applyAlignment="1" applyProtection="1">
      <alignment/>
      <protection/>
    </xf>
    <xf numFmtId="49" fontId="9" fillId="0" borderId="3" xfId="60" applyNumberFormat="1" applyFont="1" applyFill="1" applyBorder="1" applyAlignment="1" applyProtection="1">
      <alignment wrapText="1"/>
      <protection/>
    </xf>
    <xf numFmtId="49" fontId="7" fillId="0" borderId="0" xfId="60" applyNumberFormat="1" applyFont="1" applyFill="1" applyBorder="1" applyAlignment="1" applyProtection="1">
      <alignment horizontal="right"/>
      <protection/>
    </xf>
    <xf numFmtId="49" fontId="9" fillId="0" borderId="0" xfId="60" applyNumberFormat="1" applyFont="1" applyFill="1" applyBorder="1" applyAlignment="1" applyProtection="1">
      <alignment vertical="center"/>
      <protection/>
    </xf>
    <xf numFmtId="49" fontId="7" fillId="0" borderId="101" xfId="60" applyNumberFormat="1" applyFont="1" applyFill="1" applyBorder="1" applyAlignment="1" applyProtection="1">
      <alignment vertical="center"/>
      <protection/>
    </xf>
    <xf numFmtId="49" fontId="7" fillId="35" borderId="101" xfId="60" applyNumberFormat="1" applyFont="1" applyFill="1" applyBorder="1" applyAlignment="1" applyProtection="1">
      <alignment vertical="center"/>
      <protection/>
    </xf>
    <xf numFmtId="0" fontId="28" fillId="0" borderId="0" xfId="60" applyNumberFormat="1" applyFont="1" applyFill="1" applyBorder="1" applyAlignment="1" applyProtection="1">
      <alignment horizontal="right"/>
      <protection/>
    </xf>
    <xf numFmtId="0" fontId="28" fillId="0" borderId="0" xfId="60" applyNumberFormat="1" applyFont="1" applyFill="1" applyBorder="1" applyAlignment="1" applyProtection="1">
      <alignment wrapText="1"/>
      <protection/>
    </xf>
    <xf numFmtId="49" fontId="87" fillId="0" borderId="101" xfId="60" applyNumberFormat="1" applyFont="1" applyFill="1" applyBorder="1" applyAlignment="1" applyProtection="1">
      <alignment horizontal="right"/>
      <protection/>
    </xf>
    <xf numFmtId="0" fontId="88" fillId="0" borderId="101" xfId="60" applyFont="1" applyFill="1" applyBorder="1">
      <alignment/>
      <protection/>
    </xf>
    <xf numFmtId="0" fontId="85" fillId="0" borderId="3" xfId="60" applyFont="1" applyFill="1" applyBorder="1" applyAlignment="1">
      <alignment wrapText="1"/>
      <protection/>
    </xf>
    <xf numFmtId="49" fontId="86" fillId="0" borderId="0" xfId="60" applyNumberFormat="1" applyFont="1" applyFill="1" applyBorder="1" applyAlignment="1" applyProtection="1">
      <alignment/>
      <protection/>
    </xf>
    <xf numFmtId="49" fontId="86" fillId="0" borderId="0" xfId="60" applyNumberFormat="1" applyFont="1" applyFill="1" applyBorder="1" applyAlignment="1" applyProtection="1">
      <alignment vertical="center"/>
      <protection/>
    </xf>
    <xf numFmtId="0" fontId="88" fillId="0" borderId="101" xfId="60" applyFont="1" applyFill="1" applyBorder="1" applyAlignment="1">
      <alignment horizontal="right"/>
      <protection/>
    </xf>
    <xf numFmtId="0" fontId="6" fillId="35" borderId="101" xfId="60" applyFont="1" applyFill="1" applyBorder="1">
      <alignment/>
      <protection/>
    </xf>
    <xf numFmtId="0" fontId="85" fillId="0" borderId="3" xfId="60" applyFont="1" applyFill="1" applyBorder="1">
      <alignment/>
      <protection/>
    </xf>
    <xf numFmtId="49" fontId="9" fillId="0" borderId="0" xfId="60" applyNumberFormat="1" applyFont="1" applyFill="1" applyBorder="1" applyAlignment="1" applyProtection="1">
      <alignment horizontal="center" wrapText="1"/>
      <protection/>
    </xf>
    <xf numFmtId="3" fontId="86" fillId="0" borderId="0" xfId="60" applyNumberFormat="1" applyFont="1" applyFill="1" applyBorder="1" applyAlignment="1" applyProtection="1">
      <alignment horizontal="left" wrapText="1"/>
      <protection/>
    </xf>
    <xf numFmtId="0" fontId="85" fillId="0" borderId="0" xfId="60" applyFont="1" applyFill="1" applyBorder="1">
      <alignment/>
      <protection/>
    </xf>
    <xf numFmtId="0" fontId="5" fillId="0" borderId="106" xfId="56" applyFont="1" applyFill="1" applyBorder="1" applyAlignment="1">
      <alignment wrapText="1"/>
      <protection locked="0"/>
    </xf>
    <xf numFmtId="3" fontId="5" fillId="35" borderId="0" xfId="63" applyNumberFormat="1" applyFont="1" applyFill="1" applyBorder="1" applyAlignment="1">
      <alignment/>
      <protection/>
    </xf>
    <xf numFmtId="49" fontId="9" fillId="0" borderId="3" xfId="60" applyNumberFormat="1" applyFont="1" applyFill="1" applyBorder="1" applyAlignment="1" applyProtection="1">
      <alignment vertical="center" wrapText="1"/>
      <protection/>
    </xf>
    <xf numFmtId="0" fontId="9" fillId="0" borderId="92" xfId="0" applyFont="1" applyFill="1" applyBorder="1" applyAlignment="1" applyProtection="1">
      <alignment horizontal="left" vertical="center" wrapText="1"/>
      <protection locked="0"/>
    </xf>
    <xf numFmtId="0" fontId="9" fillId="35" borderId="0" xfId="60" applyNumberFormat="1" applyFont="1" applyFill="1" applyBorder="1" applyAlignment="1" applyProtection="1">
      <alignment horizontal="center"/>
      <protection/>
    </xf>
    <xf numFmtId="0" fontId="9" fillId="35" borderId="0" xfId="60" applyNumberFormat="1" applyFont="1" applyFill="1" applyBorder="1" applyAlignment="1" applyProtection="1">
      <alignment/>
      <protection/>
    </xf>
    <xf numFmtId="49" fontId="9" fillId="35" borderId="3" xfId="60" applyNumberFormat="1" applyFont="1" applyFill="1" applyBorder="1" applyAlignment="1" applyProtection="1">
      <alignment horizontal="center" vertical="center"/>
      <protection/>
    </xf>
    <xf numFmtId="49" fontId="7" fillId="35" borderId="3" xfId="60" applyNumberFormat="1" applyFont="1" applyFill="1" applyBorder="1" applyAlignment="1" applyProtection="1">
      <alignment horizontal="right"/>
      <protection/>
    </xf>
    <xf numFmtId="49" fontId="7" fillId="35" borderId="3" xfId="60" applyNumberFormat="1" applyFont="1" applyFill="1" applyBorder="1" applyAlignment="1" applyProtection="1">
      <alignment vertical="center" wrapText="1"/>
      <protection/>
    </xf>
    <xf numFmtId="49" fontId="9" fillId="35" borderId="3" xfId="60" applyNumberFormat="1" applyFont="1" applyFill="1" applyBorder="1" applyAlignment="1" applyProtection="1">
      <alignment horizontal="center"/>
      <protection/>
    </xf>
    <xf numFmtId="3" fontId="9" fillId="0" borderId="3" xfId="60" applyNumberFormat="1" applyFont="1" applyFill="1" applyBorder="1" applyAlignment="1" applyProtection="1">
      <alignment horizontal="left" vertical="center" wrapText="1"/>
      <protection/>
    </xf>
    <xf numFmtId="49" fontId="7" fillId="35" borderId="3" xfId="60" applyNumberFormat="1" applyFont="1" applyFill="1" applyBorder="1" applyAlignment="1" applyProtection="1">
      <alignment vertical="center"/>
      <protection/>
    </xf>
    <xf numFmtId="0" fontId="5" fillId="35" borderId="3" xfId="60" applyFont="1" applyFill="1" applyBorder="1" applyAlignment="1">
      <alignment wrapText="1"/>
      <protection/>
    </xf>
    <xf numFmtId="0" fontId="6" fillId="35" borderId="3" xfId="60" applyFont="1" applyFill="1" applyBorder="1">
      <alignment/>
      <protection/>
    </xf>
    <xf numFmtId="49" fontId="9" fillId="35" borderId="0" xfId="60" applyNumberFormat="1" applyFont="1" applyFill="1" applyBorder="1" applyAlignment="1" applyProtection="1">
      <alignment horizontal="center" vertical="center"/>
      <protection/>
    </xf>
    <xf numFmtId="175" fontId="9" fillId="35" borderId="0" xfId="60" applyNumberFormat="1" applyFont="1" applyFill="1" applyBorder="1" applyAlignment="1" applyProtection="1">
      <alignment horizontal="right"/>
      <protection/>
    </xf>
    <xf numFmtId="175" fontId="9" fillId="35" borderId="0" xfId="60" applyNumberFormat="1" applyFont="1" applyFill="1" applyBorder="1" applyAlignment="1" applyProtection="1">
      <alignment horizontal="right"/>
      <protection locked="0"/>
    </xf>
    <xf numFmtId="49" fontId="9" fillId="35" borderId="87" xfId="60" applyNumberFormat="1" applyFont="1" applyFill="1" applyBorder="1" applyAlignment="1" applyProtection="1">
      <alignment horizontal="center"/>
      <protection/>
    </xf>
    <xf numFmtId="49" fontId="7" fillId="35" borderId="87" xfId="60" applyNumberFormat="1" applyFont="1" applyFill="1" applyBorder="1" applyAlignment="1" applyProtection="1">
      <alignment horizontal="right"/>
      <protection/>
    </xf>
    <xf numFmtId="0" fontId="6" fillId="35" borderId="87" xfId="60" applyFont="1" applyFill="1" applyBorder="1">
      <alignment/>
      <protection/>
    </xf>
    <xf numFmtId="49" fontId="9" fillId="35" borderId="87" xfId="60" applyNumberFormat="1" applyFont="1" applyFill="1" applyBorder="1" applyAlignment="1" applyProtection="1">
      <alignment/>
      <protection/>
    </xf>
    <xf numFmtId="175" fontId="9" fillId="35" borderId="87" xfId="60" applyNumberFormat="1" applyFont="1" applyFill="1" applyBorder="1" applyAlignment="1" applyProtection="1">
      <alignment horizontal="right"/>
      <protection/>
    </xf>
    <xf numFmtId="175" fontId="9" fillId="35" borderId="87" xfId="60" applyNumberFormat="1" applyFont="1" applyFill="1" applyBorder="1" applyAlignment="1" applyProtection="1">
      <alignment horizontal="right"/>
      <protection locked="0"/>
    </xf>
    <xf numFmtId="49" fontId="9" fillId="0" borderId="107" xfId="60" applyNumberFormat="1" applyFont="1" applyFill="1" applyBorder="1" applyAlignment="1" applyProtection="1">
      <alignment horizontal="center" wrapText="1"/>
      <protection/>
    </xf>
    <xf numFmtId="3" fontId="9" fillId="0" borderId="107" xfId="60" applyNumberFormat="1" applyFont="1" applyFill="1" applyBorder="1" applyAlignment="1" applyProtection="1">
      <alignment horizontal="left" vertical="center" wrapText="1"/>
      <protection/>
    </xf>
    <xf numFmtId="0" fontId="6" fillId="0" borderId="107" xfId="60" applyFont="1" applyBorder="1" applyAlignment="1">
      <alignment wrapText="1"/>
      <protection/>
    </xf>
    <xf numFmtId="49" fontId="9" fillId="35" borderId="100" xfId="60" applyNumberFormat="1" applyFont="1" applyFill="1" applyBorder="1" applyAlignment="1" applyProtection="1">
      <alignment/>
      <protection/>
    </xf>
    <xf numFmtId="175" fontId="9" fillId="35" borderId="100" xfId="60" applyNumberFormat="1" applyFont="1" applyFill="1" applyBorder="1" applyAlignment="1" applyProtection="1">
      <alignment horizontal="right"/>
      <protection locked="0"/>
    </xf>
    <xf numFmtId="0" fontId="5" fillId="35" borderId="3" xfId="60" applyFont="1" applyFill="1" applyBorder="1">
      <alignment/>
      <protection/>
    </xf>
    <xf numFmtId="49" fontId="9" fillId="35" borderId="3" xfId="60" applyNumberFormat="1" applyFont="1" applyFill="1" applyBorder="1" applyAlignment="1" applyProtection="1">
      <alignment vertical="center"/>
      <protection/>
    </xf>
    <xf numFmtId="49" fontId="7" fillId="35" borderId="101" xfId="60" applyNumberFormat="1" applyFont="1" applyFill="1" applyBorder="1" applyAlignment="1" applyProtection="1">
      <alignment horizontal="right"/>
      <protection/>
    </xf>
    <xf numFmtId="175" fontId="9" fillId="35" borderId="101" xfId="60" applyNumberFormat="1" applyFont="1" applyFill="1" applyBorder="1" applyAlignment="1" applyProtection="1">
      <alignment horizontal="right"/>
      <protection/>
    </xf>
    <xf numFmtId="175" fontId="9" fillId="35" borderId="101" xfId="60" applyNumberFormat="1" applyFont="1" applyFill="1" applyBorder="1" applyAlignment="1" applyProtection="1">
      <alignment horizontal="right"/>
      <protection locked="0"/>
    </xf>
    <xf numFmtId="3" fontId="9" fillId="35" borderId="3" xfId="63" applyNumberFormat="1" applyFont="1" applyFill="1" applyBorder="1" applyAlignment="1" applyProtection="1">
      <alignment horizontal="center" wrapText="1"/>
      <protection/>
    </xf>
    <xf numFmtId="0" fontId="5" fillId="0" borderId="3" xfId="60" applyFont="1" applyFill="1" applyBorder="1" applyAlignment="1">
      <alignment wrapText="1"/>
      <protection/>
    </xf>
    <xf numFmtId="49" fontId="7" fillId="35" borderId="0" xfId="60" applyNumberFormat="1" applyFont="1" applyFill="1" applyBorder="1" applyAlignment="1" applyProtection="1">
      <alignment horizontal="right"/>
      <protection/>
    </xf>
    <xf numFmtId="49" fontId="9" fillId="35" borderId="3" xfId="60" applyNumberFormat="1" applyFont="1" applyFill="1" applyBorder="1" applyAlignment="1" applyProtection="1">
      <alignment vertical="center"/>
      <protection/>
    </xf>
    <xf numFmtId="49" fontId="9" fillId="35" borderId="108" xfId="60" applyNumberFormat="1" applyFont="1" applyFill="1" applyBorder="1" applyAlignment="1" applyProtection="1">
      <alignment vertical="center"/>
      <protection/>
    </xf>
    <xf numFmtId="49" fontId="9" fillId="35" borderId="105" xfId="60" applyNumberFormat="1" applyFont="1" applyFill="1" applyBorder="1" applyAlignment="1" applyProtection="1">
      <alignment vertical="center"/>
      <protection/>
    </xf>
    <xf numFmtId="49" fontId="9" fillId="35" borderId="105" xfId="60" applyNumberFormat="1" applyFont="1" applyFill="1" applyBorder="1" applyAlignment="1" applyProtection="1">
      <alignment/>
      <protection/>
    </xf>
    <xf numFmtId="3" fontId="9" fillId="35" borderId="105" xfId="60" applyNumberFormat="1" applyFont="1" applyFill="1" applyBorder="1" applyAlignment="1" applyProtection="1">
      <alignment horizontal="right"/>
      <protection/>
    </xf>
    <xf numFmtId="3" fontId="9" fillId="35" borderId="105" xfId="60" applyNumberFormat="1" applyFont="1" applyFill="1" applyBorder="1" applyAlignment="1" applyProtection="1">
      <alignment horizontal="right"/>
      <protection locked="0"/>
    </xf>
    <xf numFmtId="49" fontId="87" fillId="35" borderId="101" xfId="60" applyNumberFormat="1" applyFont="1" applyFill="1" applyBorder="1" applyAlignment="1" applyProtection="1">
      <alignment horizontal="right"/>
      <protection/>
    </xf>
    <xf numFmtId="49" fontId="87" fillId="35" borderId="101" xfId="60" applyNumberFormat="1" applyFont="1" applyFill="1" applyBorder="1" applyAlignment="1" applyProtection="1">
      <alignment horizontal="left" vertical="center"/>
      <protection/>
    </xf>
    <xf numFmtId="49" fontId="86" fillId="35" borderId="3" xfId="60" applyNumberFormat="1" applyFont="1" applyFill="1" applyBorder="1" applyAlignment="1" applyProtection="1">
      <alignment vertical="center"/>
      <protection/>
    </xf>
    <xf numFmtId="0" fontId="6" fillId="0" borderId="101" xfId="60" applyFont="1" applyFill="1" applyBorder="1">
      <alignment/>
      <protection/>
    </xf>
    <xf numFmtId="0" fontId="5" fillId="0" borderId="3" xfId="60" applyFont="1" applyFill="1" applyBorder="1">
      <alignment/>
      <protection/>
    </xf>
    <xf numFmtId="0" fontId="5" fillId="0" borderId="3" xfId="60" applyFont="1" applyFill="1" applyBorder="1" applyAlignment="1">
      <alignment/>
      <protection/>
    </xf>
    <xf numFmtId="49" fontId="87" fillId="35" borderId="3" xfId="60" applyNumberFormat="1" applyFont="1" applyFill="1" applyBorder="1" applyAlignment="1" applyProtection="1">
      <alignment horizontal="right"/>
      <protection/>
    </xf>
    <xf numFmtId="0" fontId="88" fillId="35" borderId="3" xfId="60" applyFont="1" applyFill="1" applyBorder="1">
      <alignment/>
      <protection/>
    </xf>
    <xf numFmtId="0" fontId="85" fillId="35" borderId="3" xfId="60" applyFont="1" applyFill="1" applyBorder="1" applyAlignment="1">
      <alignment/>
      <protection/>
    </xf>
    <xf numFmtId="49" fontId="86" fillId="35" borderId="3" xfId="60" applyNumberFormat="1" applyFont="1" applyFill="1" applyBorder="1" applyAlignment="1" applyProtection="1">
      <alignment/>
      <protection/>
    </xf>
    <xf numFmtId="49" fontId="87" fillId="35" borderId="101" xfId="60" applyNumberFormat="1" applyFont="1" applyFill="1" applyBorder="1" applyAlignment="1" applyProtection="1">
      <alignment horizontal="right"/>
      <protection/>
    </xf>
    <xf numFmtId="49" fontId="87" fillId="35" borderId="101" xfId="60" applyNumberFormat="1" applyFont="1" applyFill="1" applyBorder="1" applyAlignment="1" applyProtection="1">
      <alignment vertical="center"/>
      <protection/>
    </xf>
    <xf numFmtId="3" fontId="86" fillId="35" borderId="3" xfId="60" applyNumberFormat="1" applyFont="1" applyFill="1" applyBorder="1" applyAlignment="1" applyProtection="1">
      <alignment horizontal="left" wrapText="1"/>
      <protection/>
    </xf>
    <xf numFmtId="0" fontId="6" fillId="0" borderId="101" xfId="60" applyFont="1" applyFill="1" applyBorder="1" applyAlignment="1">
      <alignment horizontal="right"/>
      <protection/>
    </xf>
    <xf numFmtId="49" fontId="86" fillId="35" borderId="0" xfId="60" applyNumberFormat="1" applyFont="1" applyFill="1" applyBorder="1" applyAlignment="1" applyProtection="1">
      <alignment/>
      <protection/>
    </xf>
    <xf numFmtId="49" fontId="9" fillId="0" borderId="0" xfId="61" applyNumberFormat="1" applyFont="1" applyFill="1" applyBorder="1" applyAlignment="1" applyProtection="1">
      <alignment vertical="center" wrapText="1"/>
      <protection/>
    </xf>
    <xf numFmtId="49" fontId="7" fillId="35" borderId="101" xfId="60" applyNumberFormat="1" applyFont="1" applyFill="1" applyBorder="1" applyAlignment="1" applyProtection="1">
      <alignment horizontal="center"/>
      <protection/>
    </xf>
    <xf numFmtId="49" fontId="7" fillId="35" borderId="101" xfId="60" applyNumberFormat="1" applyFont="1" applyFill="1" applyBorder="1" applyAlignment="1" applyProtection="1">
      <alignment horizontal="right"/>
      <protection/>
    </xf>
    <xf numFmtId="49" fontId="7" fillId="35" borderId="101" xfId="60" applyNumberFormat="1" applyFont="1" applyFill="1" applyBorder="1" applyAlignment="1" applyProtection="1">
      <alignment/>
      <protection/>
    </xf>
    <xf numFmtId="3" fontId="7" fillId="35" borderId="101" xfId="60" applyNumberFormat="1" applyFont="1" applyFill="1" applyBorder="1" applyAlignment="1" applyProtection="1">
      <alignment horizontal="right"/>
      <protection/>
    </xf>
    <xf numFmtId="3" fontId="7" fillId="35" borderId="101" xfId="60" applyNumberFormat="1" applyFont="1" applyFill="1" applyBorder="1" applyAlignment="1" applyProtection="1">
      <alignment horizontal="right"/>
      <protection locked="0"/>
    </xf>
    <xf numFmtId="0" fontId="11" fillId="35" borderId="0" xfId="63" applyFont="1" applyFill="1" applyAlignment="1">
      <alignment/>
      <protection/>
    </xf>
    <xf numFmtId="0" fontId="9" fillId="33" borderId="109" xfId="0" applyFont="1" applyFill="1" applyBorder="1" applyAlignment="1" applyProtection="1">
      <alignment horizontal="left"/>
      <protection/>
    </xf>
    <xf numFmtId="0" fontId="9" fillId="33" borderId="110" xfId="0" applyFont="1" applyFill="1" applyBorder="1" applyAlignment="1" applyProtection="1">
      <alignment horizontal="left"/>
      <protection/>
    </xf>
    <xf numFmtId="0" fontId="9" fillId="33" borderId="111" xfId="0" applyFont="1" applyFill="1" applyBorder="1" applyAlignment="1" applyProtection="1">
      <alignment horizontal="left"/>
      <protection/>
    </xf>
    <xf numFmtId="0" fontId="9" fillId="34" borderId="3" xfId="0" applyFont="1" applyFill="1" applyBorder="1" applyAlignment="1" applyProtection="1">
      <alignment horizontal="center" vertical="center" wrapText="1"/>
      <protection/>
    </xf>
    <xf numFmtId="169" fontId="9" fillId="34" borderId="3" xfId="0" applyNumberFormat="1" applyFont="1" applyFill="1" applyBorder="1" applyAlignment="1" applyProtection="1">
      <alignment horizontal="center" vertical="center"/>
      <protection/>
    </xf>
    <xf numFmtId="0" fontId="9" fillId="33" borderId="110" xfId="0" applyFont="1" applyFill="1" applyBorder="1" applyAlignment="1" applyProtection="1">
      <alignment horizontal="left" wrapText="1"/>
      <protection/>
    </xf>
    <xf numFmtId="0" fontId="9" fillId="33" borderId="42" xfId="0" applyFont="1" applyFill="1" applyBorder="1" applyAlignment="1" applyProtection="1">
      <alignment horizontal="left"/>
      <protection/>
    </xf>
    <xf numFmtId="0" fontId="9" fillId="33" borderId="112" xfId="0" applyFont="1" applyFill="1" applyBorder="1" applyAlignment="1" applyProtection="1">
      <alignment horizontal="left"/>
      <protection/>
    </xf>
    <xf numFmtId="0" fontId="9" fillId="33" borderId="113" xfId="0" applyFont="1" applyFill="1" applyBorder="1" applyAlignment="1" applyProtection="1">
      <alignment horizontal="left"/>
      <protection/>
    </xf>
    <xf numFmtId="0" fontId="9" fillId="33" borderId="114" xfId="0" applyFont="1" applyFill="1" applyBorder="1" applyAlignment="1" applyProtection="1">
      <alignment horizontal="left"/>
      <protection/>
    </xf>
    <xf numFmtId="169" fontId="9" fillId="34" borderId="3" xfId="0" applyNumberFormat="1" applyFont="1" applyFill="1" applyBorder="1" applyAlignment="1" applyProtection="1">
      <alignment horizontal="center" vertical="center" wrapText="1"/>
      <protection/>
    </xf>
    <xf numFmtId="0" fontId="9" fillId="34" borderId="3" xfId="63" applyNumberFormat="1" applyFont="1" applyFill="1" applyBorder="1" applyAlignment="1" applyProtection="1">
      <alignment horizontal="center" vertical="center" wrapText="1"/>
      <protection/>
    </xf>
    <xf numFmtId="0" fontId="9" fillId="34" borderId="3" xfId="64" applyNumberFormat="1" applyFont="1" applyFill="1" applyBorder="1" applyAlignment="1" applyProtection="1">
      <alignment horizontal="center" vertical="center" wrapText="1"/>
      <protection/>
    </xf>
    <xf numFmtId="3" fontId="7" fillId="35" borderId="115" xfId="63" applyNumberFormat="1" applyFont="1" applyFill="1" applyBorder="1" applyAlignment="1" applyProtection="1">
      <alignment horizontal="center" wrapText="1"/>
      <protection/>
    </xf>
    <xf numFmtId="3" fontId="7" fillId="35" borderId="116" xfId="63" applyNumberFormat="1" applyFont="1" applyFill="1" applyBorder="1" applyAlignment="1" applyProtection="1">
      <alignment wrapText="1"/>
      <protection/>
    </xf>
    <xf numFmtId="3" fontId="7" fillId="35" borderId="116" xfId="63" applyNumberFormat="1" applyFont="1" applyFill="1" applyBorder="1" applyAlignment="1" applyProtection="1">
      <alignment wrapText="1"/>
      <protection/>
    </xf>
    <xf numFmtId="3" fontId="9" fillId="0" borderId="3" xfId="63" applyNumberFormat="1" applyFont="1" applyFill="1" applyBorder="1" applyAlignment="1" applyProtection="1">
      <alignment horizontal="right" wrapText="1"/>
      <protection/>
    </xf>
    <xf numFmtId="3" fontId="9" fillId="35" borderId="115" xfId="63" applyNumberFormat="1" applyFont="1" applyFill="1" applyBorder="1" applyAlignment="1" applyProtection="1">
      <alignment horizontal="center" wrapText="1"/>
      <protection/>
    </xf>
    <xf numFmtId="4" fontId="9" fillId="35" borderId="116" xfId="63" applyNumberFormat="1" applyFont="1" applyFill="1" applyBorder="1" applyAlignment="1" applyProtection="1">
      <alignment horizontal="right" wrapText="1"/>
      <protection/>
    </xf>
    <xf numFmtId="49" fontId="9" fillId="35" borderId="117" xfId="60" applyNumberFormat="1" applyFont="1" applyFill="1" applyBorder="1" applyAlignment="1" applyProtection="1">
      <alignment horizontal="center" vertical="center"/>
      <protection/>
    </xf>
    <xf numFmtId="4" fontId="7" fillId="35" borderId="118" xfId="63" applyNumberFormat="1" applyFont="1" applyFill="1" applyBorder="1" applyAlignment="1" applyProtection="1">
      <alignment horizontal="right" wrapText="1"/>
      <protection/>
    </xf>
    <xf numFmtId="49" fontId="9" fillId="35" borderId="119" xfId="60" applyNumberFormat="1" applyFont="1" applyFill="1" applyBorder="1" applyAlignment="1" applyProtection="1">
      <alignment horizontal="center" vertical="center"/>
      <protection/>
    </xf>
    <xf numFmtId="4" fontId="7" fillId="35" borderId="120" xfId="63" applyNumberFormat="1" applyFont="1" applyFill="1" applyBorder="1" applyAlignment="1" applyProtection="1">
      <alignment horizontal="right" wrapText="1"/>
      <protection/>
    </xf>
    <xf numFmtId="3" fontId="9" fillId="35" borderId="3" xfId="63" applyNumberFormat="1" applyFont="1" applyFill="1" applyBorder="1" applyAlignment="1" applyProtection="1">
      <alignment horizontal="center" vertical="center" wrapText="1"/>
      <protection/>
    </xf>
    <xf numFmtId="3" fontId="5" fillId="0" borderId="3" xfId="63" applyNumberFormat="1" applyFont="1" applyBorder="1" applyAlignment="1">
      <alignment/>
      <protection/>
    </xf>
    <xf numFmtId="49" fontId="9" fillId="35" borderId="121" xfId="60" applyNumberFormat="1" applyFont="1" applyFill="1" applyBorder="1" applyAlignment="1" applyProtection="1">
      <alignment horizontal="center" vertical="center"/>
      <protection/>
    </xf>
    <xf numFmtId="4" fontId="7" fillId="35" borderId="122" xfId="63" applyNumberFormat="1" applyFont="1" applyFill="1" applyBorder="1" applyAlignment="1" applyProtection="1">
      <alignment horizontal="right" wrapText="1"/>
      <protection/>
    </xf>
    <xf numFmtId="3" fontId="7" fillId="35" borderId="116" xfId="63" applyNumberFormat="1" applyFont="1" applyFill="1" applyBorder="1" applyAlignment="1" applyProtection="1">
      <alignment horizontal="right" wrapText="1"/>
      <protection/>
    </xf>
    <xf numFmtId="3" fontId="7" fillId="0" borderId="122" xfId="63" applyNumberFormat="1" applyFont="1" applyFill="1" applyBorder="1" applyAlignment="1" applyProtection="1">
      <alignment horizontal="right" wrapText="1"/>
      <protection/>
    </xf>
    <xf numFmtId="3" fontId="9" fillId="35" borderId="123" xfId="63" applyNumberFormat="1" applyFont="1" applyFill="1" applyBorder="1" applyAlignment="1" applyProtection="1">
      <alignment horizontal="center" wrapText="1"/>
      <protection/>
    </xf>
    <xf numFmtId="3" fontId="5" fillId="0" borderId="124" xfId="63" applyNumberFormat="1" applyFont="1" applyBorder="1" applyAlignment="1">
      <alignment/>
      <protection/>
    </xf>
    <xf numFmtId="3" fontId="9" fillId="35" borderId="116" xfId="63" applyNumberFormat="1" applyFont="1" applyFill="1" applyBorder="1" applyAlignment="1" applyProtection="1">
      <alignment horizontal="right" wrapText="1"/>
      <protection/>
    </xf>
    <xf numFmtId="3" fontId="7" fillId="0" borderId="122" xfId="63" applyNumberFormat="1" applyFont="1" applyFill="1" applyBorder="1" applyAlignment="1" applyProtection="1">
      <alignment horizontal="right" wrapText="1"/>
      <protection/>
    </xf>
    <xf numFmtId="49" fontId="9" fillId="35" borderId="3" xfId="60" applyNumberFormat="1" applyFont="1" applyFill="1" applyBorder="1" applyAlignment="1" applyProtection="1">
      <alignment horizontal="center" vertical="center" wrapText="1"/>
      <protection/>
    </xf>
    <xf numFmtId="3" fontId="7" fillId="0" borderId="3" xfId="63" applyNumberFormat="1" applyFont="1" applyFill="1" applyBorder="1" applyAlignment="1" applyProtection="1">
      <alignment horizontal="right" wrapText="1"/>
      <protection/>
    </xf>
    <xf numFmtId="3" fontId="5" fillId="0" borderId="116" xfId="63" applyNumberFormat="1" applyFont="1" applyBorder="1" applyAlignment="1">
      <alignment/>
      <protection/>
    </xf>
    <xf numFmtId="49" fontId="7" fillId="35" borderId="121" xfId="60" applyNumberFormat="1" applyFont="1" applyFill="1" applyBorder="1" applyAlignment="1" applyProtection="1">
      <alignment horizontal="center" vertical="center"/>
      <protection/>
    </xf>
    <xf numFmtId="49" fontId="43" fillId="35" borderId="121" xfId="60" applyNumberFormat="1" applyFont="1" applyFill="1" applyBorder="1" applyAlignment="1" applyProtection="1">
      <alignment horizontal="center" vertical="center"/>
      <protection/>
    </xf>
    <xf numFmtId="3" fontId="28" fillId="0" borderId="122" xfId="63" applyNumberFormat="1" applyFont="1" applyFill="1" applyBorder="1" applyAlignment="1" applyProtection="1">
      <alignment horizontal="right" wrapText="1"/>
      <protection/>
    </xf>
    <xf numFmtId="3" fontId="9" fillId="0" borderId="3" xfId="63" applyNumberFormat="1" applyFont="1" applyFill="1" applyBorder="1" applyAlignment="1" applyProtection="1">
      <alignment horizontal="center" wrapText="1"/>
      <protection/>
    </xf>
    <xf numFmtId="3" fontId="9" fillId="0" borderId="125" xfId="63" applyNumberFormat="1" applyFont="1" applyFill="1" applyBorder="1" applyAlignment="1" applyProtection="1">
      <alignment horizontal="center" wrapText="1"/>
      <protection/>
    </xf>
    <xf numFmtId="3" fontId="5" fillId="0" borderId="126" xfId="63" applyNumberFormat="1" applyFont="1" applyBorder="1" applyAlignment="1">
      <alignment/>
      <protection/>
    </xf>
    <xf numFmtId="49" fontId="9" fillId="35" borderId="115" xfId="60" applyNumberFormat="1" applyFont="1" applyFill="1" applyBorder="1" applyAlignment="1" applyProtection="1">
      <alignment horizontal="center" vertical="center"/>
      <protection/>
    </xf>
    <xf numFmtId="3" fontId="28" fillId="35" borderId="116" xfId="63" applyNumberFormat="1" applyFont="1" applyFill="1" applyBorder="1" applyAlignment="1" applyProtection="1">
      <alignment horizontal="right" wrapText="1"/>
      <protection/>
    </xf>
    <xf numFmtId="3" fontId="9" fillId="0" borderId="122" xfId="63" applyNumberFormat="1" applyFont="1" applyFill="1" applyBorder="1" applyAlignment="1" applyProtection="1">
      <alignment horizontal="right" wrapText="1"/>
      <protection/>
    </xf>
    <xf numFmtId="0" fontId="3" fillId="35" borderId="115" xfId="63" applyFill="1" applyBorder="1" applyAlignment="1">
      <alignment/>
      <protection/>
    </xf>
    <xf numFmtId="173" fontId="45" fillId="35" borderId="127" xfId="63" applyNumberFormat="1" applyFont="1" applyFill="1" applyBorder="1" applyAlignment="1" applyProtection="1">
      <alignment horizontal="center" wrapText="1"/>
      <protection/>
    </xf>
    <xf numFmtId="173" fontId="45" fillId="35" borderId="127" xfId="63" applyNumberFormat="1" applyFont="1" applyFill="1" applyBorder="1" applyAlignment="1" applyProtection="1">
      <alignment wrapText="1"/>
      <protection/>
    </xf>
    <xf numFmtId="3" fontId="45" fillId="35" borderId="127" xfId="63" applyNumberFormat="1" applyFont="1" applyFill="1" applyBorder="1" applyAlignment="1" applyProtection="1">
      <alignment horizontal="right" wrapText="1"/>
      <protection/>
    </xf>
    <xf numFmtId="3" fontId="45" fillId="35" borderId="127" xfId="63" applyNumberFormat="1" applyFont="1" applyFill="1" applyBorder="1" applyAlignment="1" applyProtection="1">
      <alignment wrapText="1"/>
      <protection/>
    </xf>
    <xf numFmtId="3" fontId="45" fillId="35" borderId="128" xfId="63" applyNumberFormat="1" applyFont="1" applyFill="1" applyBorder="1" applyAlignment="1" applyProtection="1">
      <alignment horizontal="right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left" vertical="center"/>
      <protection/>
    </xf>
    <xf numFmtId="165" fontId="9" fillId="0" borderId="77" xfId="0" applyNumberFormat="1" applyFont="1" applyBorder="1" applyAlignment="1" applyProtection="1">
      <alignment horizontal="left" vertical="center"/>
      <protection/>
    </xf>
    <xf numFmtId="0" fontId="9" fillId="0" borderId="7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4" fontId="9" fillId="33" borderId="0" xfId="0" applyNumberFormat="1" applyFont="1" applyFill="1" applyAlignment="1" applyProtection="1">
      <alignment horizontal="left" vertical="center"/>
      <protection/>
    </xf>
    <xf numFmtId="14" fontId="9" fillId="23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9" fillId="0" borderId="3" xfId="60" applyNumberFormat="1" applyFont="1" applyFill="1" applyBorder="1" applyAlignment="1" applyProtection="1">
      <alignment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Chybně" xfId="44"/>
    <cellStyle name="Kontrolní buňka" xfId="45"/>
    <cellStyle name="Currency" xfId="46"/>
    <cellStyle name="Currency [0]" xfId="47"/>
    <cellStyle name="nadpis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2 2" xfId="56"/>
    <cellStyle name="normální 3" xfId="57"/>
    <cellStyle name="normální 4" xfId="58"/>
    <cellStyle name="normální 5" xfId="59"/>
    <cellStyle name="normální_A_Ostrava_ZS_Michálkovice 2" xfId="60"/>
    <cellStyle name="normální_A_Ostrava_ZS_souvis_polozky_dilci_stavba_vzor_02-2" xfId="61"/>
    <cellStyle name="normální_SO_101_Nova_odlehcovaci_komora_OK1C 2" xfId="62"/>
    <cellStyle name="normální_SO_101_Nova_odlehcovaci_komora_OK1C_A_Ostrava_ZS_Michálkovice 2" xfId="63"/>
    <cellStyle name="normální_SO_101_Nova_odlehcovaci_komora_OK1C_A_Ostrava_ZS_souvis_polozky_dilci_stavba_vzor_02-2" xfId="64"/>
    <cellStyle name="normální_SO_111_Docasna_panelova_vozovka_A_Ostrava_ZS_Michálkovice 2" xfId="65"/>
    <cellStyle name="Note" xfId="66"/>
    <cellStyle name="Option" xfId="67"/>
    <cellStyle name="OptionHeading" xfId="68"/>
    <cellStyle name="Poznámka" xfId="69"/>
    <cellStyle name="Price" xfId="70"/>
    <cellStyle name="Percent" xfId="71"/>
    <cellStyle name="Propojená buňka" xfId="72"/>
    <cellStyle name="Správně" xfId="73"/>
    <cellStyle name="Text upozornění" xfId="74"/>
    <cellStyle name="Unit" xfId="75"/>
    <cellStyle name="Vertic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externalLink" Target="externalLinks/externalLink17.xml" /><Relationship Id="rId76" Type="http://schemas.openxmlformats.org/officeDocument/2006/relationships/externalLink" Target="externalLinks/externalLink18.xml" /><Relationship Id="rId77" Type="http://schemas.openxmlformats.org/officeDocument/2006/relationships/externalLink" Target="externalLinks/externalLink19.xml" /><Relationship Id="rId78" Type="http://schemas.openxmlformats.org/officeDocument/2006/relationships/externalLink" Target="externalLinks/externalLink20.xml" /><Relationship Id="rId79" Type="http://schemas.openxmlformats.org/officeDocument/2006/relationships/externalLink" Target="externalLinks/externalLink21.xml" /><Relationship Id="rId80" Type="http://schemas.openxmlformats.org/officeDocument/2006/relationships/externalLink" Target="externalLinks/externalLink22.xml" /><Relationship Id="rId81" Type="http://schemas.openxmlformats.org/officeDocument/2006/relationships/externalLink" Target="externalLinks/externalLink23.xml" /><Relationship Id="rId82" Type="http://schemas.openxmlformats.org/officeDocument/2006/relationships/externalLink" Target="externalLinks/externalLink24.xml" /><Relationship Id="rId83" Type="http://schemas.openxmlformats.org/officeDocument/2006/relationships/externalLink" Target="externalLinks/externalLink25.xml" /><Relationship Id="rId8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3)_001%20-%20SO%2001%20Stoka%20RA%20DN%2025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18)_SO005%20-%20SO%2004%20P&#345;elo&#382;ka%20N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19)_SO006%20-%20S0%2005%20P&#345;elo&#382;ka%20V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20)_SO007%20-%20SO%2006%20P&#345;elo&#382;ka%20slaboproudu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21)_SO008%20-%20SO%2007%20P&#345;elo&#382;ka%20vodovodu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2_Karvina_sberac_C_usek_A1\Usek_A1_rozpoce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Usek_A1\SO_112_Pripojka_uzit_vod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SO_11_Prelozka_telekom_site_c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4)_002%20-%20SO%2001%20Stoka%20RA%20DN%203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ast_Tendrova_dokumentace\12_Kanal_Zverinska\12_Kanalizace%20v%20ul%20Zv&#283;&#345;insk&#225;%20-%20rozpo&#269;et_r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D_TD_2010\04_Michalkovice_I_a_II_etapa\03_2010\04_Dostavba%20plo&#353;n&#233;%20kanalizace%20Mich&#225;lkovice\SD\0_4_Kanalizace%20Michalkovice%20_rozpo&#269;et_R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7_Karvina_Olsinsky_nahon\Olsinsky_potok_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PR_SO_01_Stoka_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5)_003%20-%20SO%2001%20Stoka%20RA%20DN%204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6)_004%20-%20SO%2001%20Stoka%20RA%20SKL%20DN%204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7)_005%20-%20SO%2001%20Stoka%20K1%20DN%204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8)_006%20-%20SO%2001%20Stoka%20D1%20B%20DN%2012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09)_007%20-%20SO%2001%20Stoka%20D1%20SKL%20DN%2012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11)_009%20-%20SO%2001%20Stoka%20RA%20-%20monitoring%20objekt&#36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e%20B&#283;l&#225;-Hrabov&#225;-revize-31.3.10\0743_(017)_SO004%20-%20SO%2003%20Odleh&#269;ovac&#237;%20kom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RA DN 250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323786.12000000005</v>
          </cell>
          <cell r="K14">
            <v>114.24494969999999</v>
          </cell>
          <cell r="M14">
            <v>34.167680000000004</v>
          </cell>
        </row>
        <row r="15">
          <cell r="D15" t="str">
            <v>1</v>
          </cell>
          <cell r="E15" t="str">
            <v>Zemní práce</v>
          </cell>
          <cell r="I15">
            <v>179078.93</v>
          </cell>
          <cell r="K15">
            <v>107.90080694</v>
          </cell>
          <cell r="M15">
            <v>34.167680000000004</v>
          </cell>
        </row>
        <row r="16">
          <cell r="I16">
            <v>780.12</v>
          </cell>
          <cell r="N16">
            <v>19</v>
          </cell>
          <cell r="O16">
            <v>4</v>
          </cell>
        </row>
        <row r="17">
          <cell r="I17">
            <v>1579.15</v>
          </cell>
          <cell r="N17">
            <v>19</v>
          </cell>
          <cell r="O17">
            <v>4</v>
          </cell>
        </row>
        <row r="18">
          <cell r="I18">
            <v>945.6</v>
          </cell>
          <cell r="N18">
            <v>19</v>
          </cell>
          <cell r="O18">
            <v>4</v>
          </cell>
        </row>
        <row r="19">
          <cell r="I19">
            <v>10748.32</v>
          </cell>
          <cell r="N19">
            <v>19</v>
          </cell>
          <cell r="O19">
            <v>4</v>
          </cell>
        </row>
        <row r="20">
          <cell r="I20">
            <v>23184</v>
          </cell>
          <cell r="N20">
            <v>19</v>
          </cell>
          <cell r="O20">
            <v>4</v>
          </cell>
        </row>
        <row r="21">
          <cell r="I21">
            <v>537.6</v>
          </cell>
          <cell r="N21">
            <v>19</v>
          </cell>
          <cell r="O21">
            <v>4</v>
          </cell>
        </row>
        <row r="22">
          <cell r="I22">
            <v>1102.5</v>
          </cell>
          <cell r="N22">
            <v>19</v>
          </cell>
          <cell r="O22">
            <v>4</v>
          </cell>
        </row>
        <row r="23">
          <cell r="I23">
            <v>13734.8</v>
          </cell>
          <cell r="N23">
            <v>19</v>
          </cell>
          <cell r="O23">
            <v>4</v>
          </cell>
        </row>
        <row r="24">
          <cell r="I24">
            <v>1758.05</v>
          </cell>
          <cell r="N24">
            <v>19</v>
          </cell>
          <cell r="O24">
            <v>4</v>
          </cell>
        </row>
        <row r="25">
          <cell r="I25">
            <v>27202.55</v>
          </cell>
          <cell r="N25">
            <v>19</v>
          </cell>
          <cell r="O25">
            <v>4</v>
          </cell>
        </row>
        <row r="26">
          <cell r="I26">
            <v>7646.12</v>
          </cell>
          <cell r="N26">
            <v>19</v>
          </cell>
          <cell r="O26">
            <v>4</v>
          </cell>
        </row>
        <row r="27">
          <cell r="I27">
            <v>5287.94</v>
          </cell>
          <cell r="N27">
            <v>19</v>
          </cell>
          <cell r="O27">
            <v>4</v>
          </cell>
        </row>
        <row r="28">
          <cell r="I28">
            <v>14421.54</v>
          </cell>
          <cell r="N28">
            <v>19</v>
          </cell>
          <cell r="O28">
            <v>4</v>
          </cell>
        </row>
        <row r="29">
          <cell r="I29">
            <v>20739.55</v>
          </cell>
          <cell r="N29">
            <v>19</v>
          </cell>
          <cell r="O29">
            <v>4</v>
          </cell>
        </row>
        <row r="30">
          <cell r="I30">
            <v>5810.48</v>
          </cell>
          <cell r="N30">
            <v>19</v>
          </cell>
          <cell r="O30">
            <v>4</v>
          </cell>
        </row>
        <row r="31">
          <cell r="I31">
            <v>31523.97</v>
          </cell>
          <cell r="N31">
            <v>19</v>
          </cell>
          <cell r="O31">
            <v>8</v>
          </cell>
        </row>
        <row r="32">
          <cell r="I32">
            <v>4501.09</v>
          </cell>
          <cell r="N32">
            <v>19</v>
          </cell>
          <cell r="O32">
            <v>4</v>
          </cell>
        </row>
        <row r="33">
          <cell r="I33">
            <v>7575.55</v>
          </cell>
          <cell r="N33">
            <v>19</v>
          </cell>
          <cell r="O33">
            <v>8</v>
          </cell>
        </row>
        <row r="34">
          <cell r="D34" t="str">
            <v>2</v>
          </cell>
          <cell r="E34" t="str">
            <v>Zakládání</v>
          </cell>
          <cell r="I34">
            <v>4968.4</v>
          </cell>
          <cell r="K34">
            <v>4.624181</v>
          </cell>
          <cell r="M34">
            <v>0</v>
          </cell>
        </row>
        <row r="35">
          <cell r="I35">
            <v>3388.4</v>
          </cell>
          <cell r="N35">
            <v>19</v>
          </cell>
          <cell r="O35">
            <v>4</v>
          </cell>
        </row>
        <row r="36">
          <cell r="I36">
            <v>1580</v>
          </cell>
          <cell r="N36">
            <v>19</v>
          </cell>
          <cell r="O36">
            <v>4</v>
          </cell>
        </row>
        <row r="37">
          <cell r="D37" t="str">
            <v>4</v>
          </cell>
          <cell r="E37" t="str">
            <v>Vodorovné konstrukce</v>
          </cell>
          <cell r="I37">
            <v>20879.120000000003</v>
          </cell>
          <cell r="K37">
            <v>0.07743676000000001</v>
          </cell>
          <cell r="M37">
            <v>0</v>
          </cell>
        </row>
        <row r="38">
          <cell r="I38">
            <v>4859.87</v>
          </cell>
          <cell r="N38">
            <v>19</v>
          </cell>
          <cell r="O38">
            <v>4</v>
          </cell>
        </row>
        <row r="39">
          <cell r="I39">
            <v>12623.76</v>
          </cell>
          <cell r="N39">
            <v>19</v>
          </cell>
          <cell r="O39">
            <v>4</v>
          </cell>
        </row>
        <row r="40">
          <cell r="I40">
            <v>3395.49</v>
          </cell>
          <cell r="N40">
            <v>19</v>
          </cell>
          <cell r="O40">
            <v>4</v>
          </cell>
        </row>
        <row r="41">
          <cell r="D41" t="str">
            <v>5</v>
          </cell>
          <cell r="E41" t="str">
            <v>Komunikace</v>
          </cell>
          <cell r="I41">
            <v>38267.3</v>
          </cell>
          <cell r="K41">
            <v>0.14184</v>
          </cell>
          <cell r="M41">
            <v>0</v>
          </cell>
        </row>
        <row r="42">
          <cell r="I42">
            <v>3947.88</v>
          </cell>
          <cell r="N42">
            <v>19</v>
          </cell>
          <cell r="O42">
            <v>4</v>
          </cell>
        </row>
        <row r="43">
          <cell r="I43">
            <v>9763.32</v>
          </cell>
          <cell r="N43">
            <v>19</v>
          </cell>
          <cell r="O43">
            <v>4</v>
          </cell>
        </row>
        <row r="44">
          <cell r="I44">
            <v>12178.54</v>
          </cell>
          <cell r="N44">
            <v>19</v>
          </cell>
          <cell r="O44">
            <v>4</v>
          </cell>
        </row>
        <row r="45">
          <cell r="I45">
            <v>9978.1</v>
          </cell>
          <cell r="N45">
            <v>19</v>
          </cell>
          <cell r="O45">
            <v>4</v>
          </cell>
        </row>
        <row r="46">
          <cell r="I46">
            <v>2399.46</v>
          </cell>
          <cell r="N46">
            <v>19</v>
          </cell>
          <cell r="O46">
            <v>4</v>
          </cell>
        </row>
        <row r="47">
          <cell r="D47" t="str">
            <v>8</v>
          </cell>
          <cell r="E47" t="str">
            <v>Trubní vedení</v>
          </cell>
          <cell r="I47">
            <v>43624.69</v>
          </cell>
          <cell r="K47">
            <v>1.5006849999999998</v>
          </cell>
          <cell r="M47">
            <v>0</v>
          </cell>
        </row>
        <row r="48">
          <cell r="I48">
            <v>2068.5</v>
          </cell>
          <cell r="N48">
            <v>19</v>
          </cell>
          <cell r="O48">
            <v>4</v>
          </cell>
        </row>
        <row r="49">
          <cell r="I49">
            <v>5023.5</v>
          </cell>
          <cell r="N49">
            <v>19</v>
          </cell>
          <cell r="O49">
            <v>4</v>
          </cell>
        </row>
        <row r="50">
          <cell r="I50">
            <v>36532.69</v>
          </cell>
          <cell r="N50">
            <v>19</v>
          </cell>
          <cell r="O50">
            <v>8</v>
          </cell>
        </row>
        <row r="51">
          <cell r="D51" t="str">
            <v>9</v>
          </cell>
          <cell r="E51" t="str">
            <v>Ostatní konstrukce a práce-bourání</v>
          </cell>
          <cell r="I51">
            <v>18916.97</v>
          </cell>
          <cell r="K51">
            <v>0</v>
          </cell>
          <cell r="M51">
            <v>0</v>
          </cell>
        </row>
        <row r="52">
          <cell r="I52">
            <v>2970.76</v>
          </cell>
          <cell r="N52">
            <v>19</v>
          </cell>
          <cell r="O52">
            <v>4</v>
          </cell>
        </row>
        <row r="53">
          <cell r="I53">
            <v>1677.65</v>
          </cell>
          <cell r="N53">
            <v>19</v>
          </cell>
          <cell r="O53">
            <v>4</v>
          </cell>
        </row>
        <row r="54">
          <cell r="I54">
            <v>3505.64</v>
          </cell>
          <cell r="N54">
            <v>19</v>
          </cell>
          <cell r="O54">
            <v>4</v>
          </cell>
        </row>
        <row r="55">
          <cell r="I55">
            <v>10762.92</v>
          </cell>
          <cell r="N55">
            <v>19</v>
          </cell>
          <cell r="O55">
            <v>4</v>
          </cell>
        </row>
        <row r="56">
          <cell r="D56" t="str">
            <v>99</v>
          </cell>
          <cell r="E56" t="str">
            <v>Přesun hmot</v>
          </cell>
          <cell r="I56">
            <v>18050.71</v>
          </cell>
          <cell r="K56">
            <v>0</v>
          </cell>
          <cell r="M56">
            <v>0</v>
          </cell>
        </row>
        <row r="57">
          <cell r="I57">
            <v>18050.71</v>
          </cell>
          <cell r="N57">
            <v>19</v>
          </cell>
          <cell r="O57">
            <v>4</v>
          </cell>
        </row>
        <row r="58">
          <cell r="D58" t="str">
            <v>M</v>
          </cell>
          <cell r="E58" t="str">
            <v>Práce a dodávky M</v>
          </cell>
          <cell r="I58">
            <v>4764.04</v>
          </cell>
          <cell r="K58">
            <v>0</v>
          </cell>
          <cell r="M58">
            <v>0</v>
          </cell>
        </row>
        <row r="59">
          <cell r="D59" t="str">
            <v>23-M</v>
          </cell>
          <cell r="E59" t="str">
            <v>Montáže potrubí</v>
          </cell>
          <cell r="I59">
            <v>4764.04</v>
          </cell>
          <cell r="K59">
            <v>0</v>
          </cell>
          <cell r="M59">
            <v>0</v>
          </cell>
        </row>
        <row r="60">
          <cell r="I60">
            <v>4110</v>
          </cell>
          <cell r="N60">
            <v>19</v>
          </cell>
          <cell r="O60">
            <v>64</v>
          </cell>
        </row>
        <row r="61">
          <cell r="I61">
            <v>654.04</v>
          </cell>
          <cell r="N61">
            <v>19</v>
          </cell>
          <cell r="O61">
            <v>64</v>
          </cell>
        </row>
        <row r="62">
          <cell r="I62">
            <v>328550.16000000003</v>
          </cell>
          <cell r="K62">
            <v>114.24494969999999</v>
          </cell>
          <cell r="M62">
            <v>34.167680000000004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04 Přeložka NN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M</v>
          </cell>
          <cell r="E14" t="str">
            <v>Práce a dodávky M</v>
          </cell>
          <cell r="I14">
            <v>458926.65</v>
          </cell>
          <cell r="K14">
            <v>0</v>
          </cell>
          <cell r="M14">
            <v>0</v>
          </cell>
        </row>
        <row r="15">
          <cell r="D15" t="str">
            <v>21-M</v>
          </cell>
          <cell r="E15" t="str">
            <v>Elektromontáže</v>
          </cell>
          <cell r="I15">
            <v>458926.65</v>
          </cell>
          <cell r="K15">
            <v>0</v>
          </cell>
          <cell r="M15">
            <v>0</v>
          </cell>
        </row>
        <row r="16">
          <cell r="I16">
            <v>458926.65</v>
          </cell>
          <cell r="N16">
            <v>19</v>
          </cell>
          <cell r="O16">
            <v>64</v>
          </cell>
        </row>
        <row r="17">
          <cell r="I17">
            <v>458926.65</v>
          </cell>
          <cell r="K17">
            <v>0</v>
          </cell>
          <cell r="M1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S0 05 Přeložka VO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M</v>
          </cell>
          <cell r="E14" t="str">
            <v>Práce a dodávky M</v>
          </cell>
          <cell r="I14">
            <v>41330.1</v>
          </cell>
          <cell r="K14">
            <v>0</v>
          </cell>
          <cell r="M14">
            <v>0</v>
          </cell>
        </row>
        <row r="15">
          <cell r="D15" t="str">
            <v>21-M</v>
          </cell>
          <cell r="E15" t="str">
            <v>Elektromontáže</v>
          </cell>
          <cell r="I15">
            <v>41330.1</v>
          </cell>
          <cell r="K15">
            <v>0</v>
          </cell>
          <cell r="M15">
            <v>0</v>
          </cell>
        </row>
        <row r="16">
          <cell r="I16">
            <v>41330.1</v>
          </cell>
          <cell r="N16">
            <v>19</v>
          </cell>
          <cell r="O16">
            <v>64</v>
          </cell>
        </row>
        <row r="17">
          <cell r="I17">
            <v>41330.1</v>
          </cell>
          <cell r="K17">
            <v>0</v>
          </cell>
          <cell r="M1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06 Přeložka slaboproudu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M</v>
          </cell>
          <cell r="E14" t="str">
            <v>Práce a dodávky M</v>
          </cell>
          <cell r="I14">
            <v>83823.6</v>
          </cell>
          <cell r="K14">
            <v>0</v>
          </cell>
          <cell r="M14">
            <v>0</v>
          </cell>
        </row>
        <row r="15">
          <cell r="D15" t="str">
            <v>22-M</v>
          </cell>
          <cell r="E15" t="str">
            <v>Montáže oznam. a zabezp. zařízení</v>
          </cell>
          <cell r="I15">
            <v>83823.6</v>
          </cell>
          <cell r="K15">
            <v>0</v>
          </cell>
          <cell r="M15">
            <v>0</v>
          </cell>
        </row>
        <row r="16">
          <cell r="I16">
            <v>83823.6</v>
          </cell>
          <cell r="N16">
            <v>19</v>
          </cell>
          <cell r="O16">
            <v>64</v>
          </cell>
        </row>
        <row r="17">
          <cell r="I17">
            <v>83823.6</v>
          </cell>
          <cell r="K17">
            <v>0</v>
          </cell>
          <cell r="M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07 Přeložka vodovodu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267534.88</v>
          </cell>
          <cell r="K14">
            <v>47.88550408</v>
          </cell>
          <cell r="M14">
            <v>16.91904</v>
          </cell>
        </row>
        <row r="15">
          <cell r="D15" t="str">
            <v>1</v>
          </cell>
          <cell r="E15" t="str">
            <v>Zemní práce</v>
          </cell>
          <cell r="I15">
            <v>129475.98999999998</v>
          </cell>
          <cell r="K15">
            <v>32.2706848</v>
          </cell>
          <cell r="M15">
            <v>16.91904</v>
          </cell>
        </row>
        <row r="16">
          <cell r="I16">
            <v>4754.16</v>
          </cell>
          <cell r="N16">
            <v>19</v>
          </cell>
          <cell r="O16">
            <v>4</v>
          </cell>
        </row>
        <row r="17">
          <cell r="I17">
            <v>2811.6</v>
          </cell>
          <cell r="N17">
            <v>19</v>
          </cell>
          <cell r="O17">
            <v>4</v>
          </cell>
        </row>
        <row r="18">
          <cell r="I18">
            <v>23040</v>
          </cell>
          <cell r="N18">
            <v>19</v>
          </cell>
          <cell r="O18">
            <v>4</v>
          </cell>
        </row>
        <row r="19">
          <cell r="I19">
            <v>23184</v>
          </cell>
          <cell r="N19">
            <v>19</v>
          </cell>
          <cell r="O19">
            <v>4</v>
          </cell>
        </row>
        <row r="20">
          <cell r="I20">
            <v>537.6</v>
          </cell>
          <cell r="N20">
            <v>19</v>
          </cell>
          <cell r="O20">
            <v>4</v>
          </cell>
        </row>
        <row r="21">
          <cell r="I21">
            <v>294</v>
          </cell>
          <cell r="N21">
            <v>19</v>
          </cell>
          <cell r="O21">
            <v>4</v>
          </cell>
        </row>
        <row r="22">
          <cell r="I22">
            <v>66.24</v>
          </cell>
          <cell r="N22">
            <v>19</v>
          </cell>
          <cell r="O22">
            <v>4</v>
          </cell>
        </row>
        <row r="23">
          <cell r="I23">
            <v>11502.6</v>
          </cell>
          <cell r="N23">
            <v>19</v>
          </cell>
          <cell r="O23">
            <v>4</v>
          </cell>
        </row>
        <row r="24">
          <cell r="I24">
            <v>739.87</v>
          </cell>
          <cell r="N24">
            <v>19</v>
          </cell>
          <cell r="O24">
            <v>4</v>
          </cell>
        </row>
        <row r="25">
          <cell r="I25">
            <v>25609.92</v>
          </cell>
          <cell r="N25">
            <v>19</v>
          </cell>
          <cell r="O25">
            <v>4</v>
          </cell>
        </row>
        <row r="26">
          <cell r="I26">
            <v>6327.89</v>
          </cell>
          <cell r="N26">
            <v>19</v>
          </cell>
          <cell r="O26">
            <v>4</v>
          </cell>
        </row>
        <row r="27">
          <cell r="I27">
            <v>2225.44</v>
          </cell>
          <cell r="N27">
            <v>19</v>
          </cell>
          <cell r="O27">
            <v>4</v>
          </cell>
        </row>
        <row r="28">
          <cell r="I28">
            <v>4581.57</v>
          </cell>
          <cell r="N28">
            <v>19</v>
          </cell>
          <cell r="O28">
            <v>4</v>
          </cell>
        </row>
        <row r="29">
          <cell r="I29">
            <v>6588.73</v>
          </cell>
          <cell r="N29">
            <v>19</v>
          </cell>
          <cell r="O29">
            <v>4</v>
          </cell>
        </row>
        <row r="30">
          <cell r="I30">
            <v>1524.48</v>
          </cell>
          <cell r="N30">
            <v>19</v>
          </cell>
          <cell r="O30">
            <v>4</v>
          </cell>
        </row>
        <row r="31">
          <cell r="I31">
            <v>4713.68</v>
          </cell>
          <cell r="N31">
            <v>19</v>
          </cell>
          <cell r="O31">
            <v>8</v>
          </cell>
        </row>
        <row r="32">
          <cell r="I32">
            <v>3780.02</v>
          </cell>
          <cell r="N32">
            <v>19</v>
          </cell>
          <cell r="O32">
            <v>4</v>
          </cell>
        </row>
        <row r="33">
          <cell r="I33">
            <v>6361.99</v>
          </cell>
          <cell r="N33">
            <v>19</v>
          </cell>
          <cell r="O33">
            <v>8</v>
          </cell>
        </row>
        <row r="34">
          <cell r="I34">
            <v>575.04</v>
          </cell>
          <cell r="N34">
            <v>19</v>
          </cell>
          <cell r="O34">
            <v>4</v>
          </cell>
        </row>
        <row r="35">
          <cell r="I35">
            <v>236.16</v>
          </cell>
          <cell r="N35">
            <v>19</v>
          </cell>
          <cell r="O35">
            <v>4</v>
          </cell>
        </row>
        <row r="36">
          <cell r="I36">
            <v>21</v>
          </cell>
          <cell r="N36">
            <v>19</v>
          </cell>
          <cell r="O36">
            <v>8</v>
          </cell>
        </row>
        <row r="37">
          <cell r="D37" t="str">
            <v>2</v>
          </cell>
          <cell r="E37" t="str">
            <v>Zakládání</v>
          </cell>
          <cell r="I37">
            <v>6571.2</v>
          </cell>
          <cell r="K37">
            <v>10.059707999999999</v>
          </cell>
          <cell r="M37">
            <v>0</v>
          </cell>
        </row>
        <row r="38">
          <cell r="I38">
            <v>6571.2</v>
          </cell>
          <cell r="N38">
            <v>19</v>
          </cell>
          <cell r="O38">
            <v>4</v>
          </cell>
        </row>
        <row r="39">
          <cell r="D39" t="str">
            <v>4</v>
          </cell>
          <cell r="E39" t="str">
            <v>Vodorovné konstrukce</v>
          </cell>
          <cell r="I39">
            <v>13704.04</v>
          </cell>
          <cell r="K39">
            <v>5.037011280000001</v>
          </cell>
          <cell r="M39">
            <v>0</v>
          </cell>
        </row>
        <row r="40">
          <cell r="I40">
            <v>2624.04</v>
          </cell>
          <cell r="N40">
            <v>19</v>
          </cell>
          <cell r="O40">
            <v>4</v>
          </cell>
        </row>
        <row r="41">
          <cell r="I41">
            <v>11080</v>
          </cell>
          <cell r="N41">
            <v>19</v>
          </cell>
          <cell r="O41">
            <v>4</v>
          </cell>
        </row>
        <row r="42">
          <cell r="D42" t="str">
            <v>5</v>
          </cell>
          <cell r="E42" t="str">
            <v>Komunikace</v>
          </cell>
          <cell r="I42">
            <v>34167.119999999995</v>
          </cell>
          <cell r="K42">
            <v>0.17567999999999998</v>
          </cell>
          <cell r="M42">
            <v>0</v>
          </cell>
        </row>
        <row r="43">
          <cell r="I43">
            <v>2845.68</v>
          </cell>
          <cell r="N43">
            <v>19</v>
          </cell>
          <cell r="O43">
            <v>4</v>
          </cell>
        </row>
        <row r="44">
          <cell r="I44">
            <v>7037.52</v>
          </cell>
          <cell r="N44">
            <v>19</v>
          </cell>
          <cell r="O44">
            <v>4</v>
          </cell>
        </row>
        <row r="45">
          <cell r="I45">
            <v>10790.4</v>
          </cell>
          <cell r="N45">
            <v>19</v>
          </cell>
          <cell r="O45">
            <v>4</v>
          </cell>
        </row>
        <row r="46">
          <cell r="I46">
            <v>10521.6</v>
          </cell>
          <cell r="N46">
            <v>19</v>
          </cell>
          <cell r="O46">
            <v>4</v>
          </cell>
        </row>
        <row r="47">
          <cell r="I47">
            <v>2971.92</v>
          </cell>
          <cell r="N47">
            <v>19</v>
          </cell>
          <cell r="O47">
            <v>4</v>
          </cell>
        </row>
        <row r="48">
          <cell r="D48" t="str">
            <v>8</v>
          </cell>
          <cell r="E48" t="str">
            <v>Trubní vedení</v>
          </cell>
          <cell r="I48">
            <v>64474.920000000006</v>
          </cell>
          <cell r="K48">
            <v>0.34242</v>
          </cell>
          <cell r="M48">
            <v>0</v>
          </cell>
        </row>
        <row r="49">
          <cell r="I49">
            <v>58.8</v>
          </cell>
          <cell r="N49">
            <v>19</v>
          </cell>
          <cell r="O49">
            <v>4</v>
          </cell>
        </row>
        <row r="50">
          <cell r="I50">
            <v>94</v>
          </cell>
          <cell r="N50">
            <v>19</v>
          </cell>
          <cell r="O50">
            <v>8</v>
          </cell>
        </row>
        <row r="51">
          <cell r="I51">
            <v>1276.8</v>
          </cell>
          <cell r="N51">
            <v>19</v>
          </cell>
          <cell r="O51">
            <v>4</v>
          </cell>
        </row>
        <row r="52">
          <cell r="I52">
            <v>4276.8</v>
          </cell>
          <cell r="N52">
            <v>19</v>
          </cell>
          <cell r="O52">
            <v>8</v>
          </cell>
        </row>
        <row r="53">
          <cell r="I53">
            <v>123.3</v>
          </cell>
          <cell r="N53">
            <v>19</v>
          </cell>
          <cell r="O53">
            <v>4</v>
          </cell>
        </row>
        <row r="54">
          <cell r="I54">
            <v>12341.7</v>
          </cell>
          <cell r="N54">
            <v>19</v>
          </cell>
          <cell r="O54">
            <v>8</v>
          </cell>
        </row>
        <row r="55">
          <cell r="I55">
            <v>51.9</v>
          </cell>
          <cell r="N55">
            <v>19</v>
          </cell>
          <cell r="O55">
            <v>4</v>
          </cell>
        </row>
        <row r="56">
          <cell r="I56">
            <v>225.8</v>
          </cell>
          <cell r="N56">
            <v>19</v>
          </cell>
          <cell r="O56">
            <v>8</v>
          </cell>
        </row>
        <row r="57">
          <cell r="I57">
            <v>704.8</v>
          </cell>
          <cell r="N57">
            <v>19</v>
          </cell>
          <cell r="O57">
            <v>4</v>
          </cell>
        </row>
        <row r="58">
          <cell r="I58">
            <v>636.3</v>
          </cell>
          <cell r="N58">
            <v>19</v>
          </cell>
          <cell r="O58">
            <v>8</v>
          </cell>
        </row>
        <row r="59">
          <cell r="I59">
            <v>237.3</v>
          </cell>
          <cell r="N59">
            <v>19</v>
          </cell>
          <cell r="O59">
            <v>8</v>
          </cell>
        </row>
        <row r="60">
          <cell r="I60">
            <v>724.5</v>
          </cell>
          <cell r="N60">
            <v>19</v>
          </cell>
          <cell r="O60">
            <v>8</v>
          </cell>
        </row>
        <row r="61">
          <cell r="I61">
            <v>644.8</v>
          </cell>
          <cell r="N61">
            <v>19</v>
          </cell>
          <cell r="O61">
            <v>8</v>
          </cell>
        </row>
        <row r="62">
          <cell r="I62">
            <v>401.1</v>
          </cell>
          <cell r="N62">
            <v>19</v>
          </cell>
          <cell r="O62">
            <v>8</v>
          </cell>
        </row>
        <row r="63">
          <cell r="I63">
            <v>639</v>
          </cell>
          <cell r="N63">
            <v>19</v>
          </cell>
          <cell r="O63">
            <v>4</v>
          </cell>
        </row>
        <row r="64">
          <cell r="I64">
            <v>463</v>
          </cell>
          <cell r="N64">
            <v>19</v>
          </cell>
          <cell r="O64">
            <v>4</v>
          </cell>
        </row>
        <row r="65">
          <cell r="I65">
            <v>5233.2</v>
          </cell>
          <cell r="N65">
            <v>19</v>
          </cell>
          <cell r="O65">
            <v>8</v>
          </cell>
        </row>
        <row r="66">
          <cell r="I66">
            <v>1711.5</v>
          </cell>
          <cell r="N66">
            <v>19</v>
          </cell>
          <cell r="O66">
            <v>8</v>
          </cell>
        </row>
        <row r="67">
          <cell r="I67">
            <v>825</v>
          </cell>
          <cell r="N67">
            <v>19</v>
          </cell>
          <cell r="O67">
            <v>4</v>
          </cell>
        </row>
        <row r="68">
          <cell r="I68">
            <v>5092.5</v>
          </cell>
          <cell r="N68">
            <v>19</v>
          </cell>
          <cell r="O68">
            <v>8</v>
          </cell>
        </row>
        <row r="69">
          <cell r="I69">
            <v>1711.5</v>
          </cell>
          <cell r="N69">
            <v>19</v>
          </cell>
          <cell r="O69">
            <v>8</v>
          </cell>
        </row>
        <row r="70">
          <cell r="I70">
            <v>586.08</v>
          </cell>
          <cell r="N70">
            <v>19</v>
          </cell>
          <cell r="O70">
            <v>4</v>
          </cell>
        </row>
        <row r="71">
          <cell r="I71">
            <v>1514.04</v>
          </cell>
          <cell r="N71">
            <v>19</v>
          </cell>
          <cell r="O71">
            <v>4</v>
          </cell>
        </row>
        <row r="72">
          <cell r="I72">
            <v>7800</v>
          </cell>
          <cell r="N72">
            <v>19</v>
          </cell>
          <cell r="O72">
            <v>4</v>
          </cell>
        </row>
        <row r="73">
          <cell r="I73">
            <v>302</v>
          </cell>
          <cell r="N73">
            <v>19</v>
          </cell>
          <cell r="O73">
            <v>4</v>
          </cell>
        </row>
        <row r="74">
          <cell r="I74">
            <v>301.4</v>
          </cell>
          <cell r="N74">
            <v>19</v>
          </cell>
          <cell r="O74">
            <v>8</v>
          </cell>
        </row>
        <row r="75">
          <cell r="I75">
            <v>440</v>
          </cell>
          <cell r="N75">
            <v>19</v>
          </cell>
          <cell r="O75">
            <v>4</v>
          </cell>
        </row>
        <row r="76">
          <cell r="I76">
            <v>562.8</v>
          </cell>
          <cell r="N76">
            <v>19</v>
          </cell>
          <cell r="O76">
            <v>8</v>
          </cell>
        </row>
        <row r="77">
          <cell r="I77">
            <v>3680</v>
          </cell>
          <cell r="N77">
            <v>19</v>
          </cell>
          <cell r="O77">
            <v>4</v>
          </cell>
        </row>
        <row r="78">
          <cell r="I78">
            <v>1315</v>
          </cell>
          <cell r="N78">
            <v>19</v>
          </cell>
          <cell r="O78">
            <v>4</v>
          </cell>
        </row>
        <row r="79">
          <cell r="I79">
            <v>10500</v>
          </cell>
          <cell r="N79">
            <v>19</v>
          </cell>
          <cell r="O79">
            <v>4</v>
          </cell>
        </row>
        <row r="80">
          <cell r="D80" t="str">
            <v>9</v>
          </cell>
          <cell r="E80" t="str">
            <v>Ostatní konstrukce a práce-bourání</v>
          </cell>
          <cell r="I80">
            <v>11575.619999999999</v>
          </cell>
          <cell r="K80">
            <v>0</v>
          </cell>
          <cell r="M80">
            <v>0</v>
          </cell>
        </row>
        <row r="81">
          <cell r="I81">
            <v>3679.52</v>
          </cell>
          <cell r="N81">
            <v>19</v>
          </cell>
          <cell r="O81">
            <v>4</v>
          </cell>
        </row>
        <row r="82">
          <cell r="I82">
            <v>830.72</v>
          </cell>
          <cell r="N82">
            <v>19</v>
          </cell>
          <cell r="O82">
            <v>4</v>
          </cell>
        </row>
        <row r="83">
          <cell r="I83">
            <v>1735.89</v>
          </cell>
          <cell r="N83">
            <v>19</v>
          </cell>
          <cell r="O83">
            <v>4</v>
          </cell>
        </row>
        <row r="84">
          <cell r="I84">
            <v>5329.49</v>
          </cell>
          <cell r="N84">
            <v>19</v>
          </cell>
          <cell r="O84">
            <v>4</v>
          </cell>
        </row>
        <row r="85">
          <cell r="D85" t="str">
            <v>99</v>
          </cell>
          <cell r="E85" t="str">
            <v>Přesun hmot</v>
          </cell>
          <cell r="I85">
            <v>7565.99</v>
          </cell>
          <cell r="K85">
            <v>0</v>
          </cell>
          <cell r="M85">
            <v>0</v>
          </cell>
        </row>
        <row r="86">
          <cell r="I86">
            <v>7565.99</v>
          </cell>
          <cell r="N86">
            <v>19</v>
          </cell>
          <cell r="O86">
            <v>4</v>
          </cell>
        </row>
        <row r="87">
          <cell r="I87">
            <v>267534.88</v>
          </cell>
          <cell r="K87">
            <v>47.88550408</v>
          </cell>
          <cell r="M87">
            <v>16.91904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RA DN 300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10594780.9</v>
          </cell>
          <cell r="K14">
            <v>2795.7327189199996</v>
          </cell>
          <cell r="M14">
            <v>1077.738816</v>
          </cell>
        </row>
        <row r="15">
          <cell r="D15" t="str">
            <v>1</v>
          </cell>
          <cell r="E15" t="str">
            <v>Zemní práce</v>
          </cell>
          <cell r="I15">
            <v>4771301.989999999</v>
          </cell>
          <cell r="K15">
            <v>2593.17566078</v>
          </cell>
          <cell r="M15">
            <v>1077.738816</v>
          </cell>
        </row>
        <row r="16">
          <cell r="I16">
            <v>24607.04</v>
          </cell>
          <cell r="N16">
            <v>19</v>
          </cell>
          <cell r="O16">
            <v>4</v>
          </cell>
        </row>
        <row r="17">
          <cell r="I17">
            <v>49810.62</v>
          </cell>
          <cell r="N17">
            <v>19</v>
          </cell>
          <cell r="O17">
            <v>4</v>
          </cell>
        </row>
        <row r="18">
          <cell r="I18">
            <v>29826.72</v>
          </cell>
          <cell r="N18">
            <v>19</v>
          </cell>
          <cell r="O18">
            <v>4</v>
          </cell>
        </row>
        <row r="19">
          <cell r="I19">
            <v>339030.38</v>
          </cell>
          <cell r="N19">
            <v>19</v>
          </cell>
          <cell r="O19">
            <v>4</v>
          </cell>
        </row>
        <row r="20">
          <cell r="I20">
            <v>288144</v>
          </cell>
          <cell r="N20">
            <v>19</v>
          </cell>
          <cell r="O20">
            <v>4</v>
          </cell>
        </row>
        <row r="21">
          <cell r="I21">
            <v>6681.6</v>
          </cell>
          <cell r="N21">
            <v>19</v>
          </cell>
          <cell r="O21">
            <v>4</v>
          </cell>
        </row>
        <row r="22">
          <cell r="I22">
            <v>4998</v>
          </cell>
          <cell r="N22">
            <v>19</v>
          </cell>
          <cell r="O22">
            <v>4</v>
          </cell>
        </row>
        <row r="23">
          <cell r="I23">
            <v>6006</v>
          </cell>
          <cell r="N23">
            <v>19</v>
          </cell>
          <cell r="O23">
            <v>4</v>
          </cell>
        </row>
        <row r="24">
          <cell r="I24">
            <v>1447.2</v>
          </cell>
          <cell r="N24">
            <v>19</v>
          </cell>
          <cell r="O24">
            <v>4</v>
          </cell>
        </row>
        <row r="25">
          <cell r="I25">
            <v>433233.2</v>
          </cell>
          <cell r="N25">
            <v>19</v>
          </cell>
          <cell r="O25">
            <v>4</v>
          </cell>
        </row>
        <row r="26">
          <cell r="I26">
            <v>55453.85</v>
          </cell>
          <cell r="N26">
            <v>19</v>
          </cell>
          <cell r="O26">
            <v>4</v>
          </cell>
        </row>
        <row r="27">
          <cell r="I27">
            <v>858040.21</v>
          </cell>
          <cell r="N27">
            <v>19</v>
          </cell>
          <cell r="O27">
            <v>4</v>
          </cell>
        </row>
        <row r="28">
          <cell r="I28">
            <v>241178.87</v>
          </cell>
          <cell r="N28">
            <v>19</v>
          </cell>
          <cell r="O28">
            <v>4</v>
          </cell>
        </row>
        <row r="29">
          <cell r="I29">
            <v>156746.94</v>
          </cell>
          <cell r="N29">
            <v>19</v>
          </cell>
          <cell r="O29">
            <v>4</v>
          </cell>
        </row>
        <row r="30">
          <cell r="I30">
            <v>454894.86</v>
          </cell>
          <cell r="N30">
            <v>19</v>
          </cell>
          <cell r="O30">
            <v>4</v>
          </cell>
        </row>
        <row r="31">
          <cell r="I31">
            <v>654182.13</v>
          </cell>
          <cell r="N31">
            <v>19</v>
          </cell>
          <cell r="O31">
            <v>4</v>
          </cell>
        </row>
        <row r="32">
          <cell r="I32">
            <v>156049.96</v>
          </cell>
          <cell r="N32">
            <v>19</v>
          </cell>
          <cell r="O32">
            <v>4</v>
          </cell>
        </row>
        <row r="33">
          <cell r="I33">
            <v>846627.68</v>
          </cell>
          <cell r="N33">
            <v>19</v>
          </cell>
          <cell r="O33">
            <v>8</v>
          </cell>
        </row>
        <row r="34">
          <cell r="I34">
            <v>61252.22</v>
          </cell>
          <cell r="N34">
            <v>19</v>
          </cell>
          <cell r="O34">
            <v>4</v>
          </cell>
        </row>
        <row r="35">
          <cell r="I35">
            <v>103090.51</v>
          </cell>
          <cell r="N35">
            <v>19</v>
          </cell>
          <cell r="O35">
            <v>8</v>
          </cell>
        </row>
        <row r="36">
          <cell r="D36" t="str">
            <v>2</v>
          </cell>
          <cell r="E36" t="str">
            <v>Zakládání</v>
          </cell>
          <cell r="I36">
            <v>127419.08</v>
          </cell>
          <cell r="K36">
            <v>145.8588747</v>
          </cell>
          <cell r="M36">
            <v>0</v>
          </cell>
        </row>
        <row r="37">
          <cell r="I37">
            <v>106879.08</v>
          </cell>
          <cell r="N37">
            <v>19</v>
          </cell>
          <cell r="O37">
            <v>4</v>
          </cell>
        </row>
        <row r="38">
          <cell r="I38">
            <v>20540</v>
          </cell>
          <cell r="N38">
            <v>19</v>
          </cell>
          <cell r="O38">
            <v>4</v>
          </cell>
        </row>
        <row r="39">
          <cell r="D39" t="str">
            <v>4</v>
          </cell>
          <cell r="E39" t="str">
            <v>Vodorovné konstrukce</v>
          </cell>
          <cell r="I39">
            <v>399668.03</v>
          </cell>
          <cell r="K39">
            <v>1.09845572</v>
          </cell>
          <cell r="M39">
            <v>0</v>
          </cell>
        </row>
        <row r="40">
          <cell r="I40">
            <v>153308.21</v>
          </cell>
          <cell r="N40">
            <v>19</v>
          </cell>
          <cell r="O40">
            <v>4</v>
          </cell>
        </row>
        <row r="41">
          <cell r="I41">
            <v>198194.1</v>
          </cell>
          <cell r="N41">
            <v>19</v>
          </cell>
          <cell r="O41">
            <v>4</v>
          </cell>
        </row>
        <row r="42">
          <cell r="I42">
            <v>48165.72</v>
          </cell>
          <cell r="N42">
            <v>19</v>
          </cell>
          <cell r="O42">
            <v>4</v>
          </cell>
        </row>
        <row r="43">
          <cell r="D43" t="str">
            <v>5</v>
          </cell>
          <cell r="E43" t="str">
            <v>Komunikace</v>
          </cell>
          <cell r="I43">
            <v>1213574.6700000002</v>
          </cell>
          <cell r="K43">
            <v>4.4740079999999995</v>
          </cell>
          <cell r="M43">
            <v>0</v>
          </cell>
        </row>
        <row r="44">
          <cell r="I44">
            <v>124526.56</v>
          </cell>
          <cell r="N44">
            <v>19</v>
          </cell>
          <cell r="O44">
            <v>4</v>
          </cell>
        </row>
        <row r="45">
          <cell r="I45">
            <v>307960.88</v>
          </cell>
          <cell r="N45">
            <v>19</v>
          </cell>
          <cell r="O45">
            <v>4</v>
          </cell>
        </row>
        <row r="46">
          <cell r="I46">
            <v>384143.3</v>
          </cell>
          <cell r="N46">
            <v>19</v>
          </cell>
          <cell r="O46">
            <v>4</v>
          </cell>
        </row>
        <row r="47">
          <cell r="I47">
            <v>321258.63</v>
          </cell>
          <cell r="N47">
            <v>19</v>
          </cell>
          <cell r="O47">
            <v>4</v>
          </cell>
        </row>
        <row r="48">
          <cell r="I48">
            <v>75685.3</v>
          </cell>
          <cell r="N48">
            <v>19</v>
          </cell>
          <cell r="O48">
            <v>4</v>
          </cell>
        </row>
        <row r="49">
          <cell r="D49" t="str">
            <v>8</v>
          </cell>
          <cell r="E49" t="str">
            <v>Trubní vedení</v>
          </cell>
          <cell r="I49">
            <v>3044404.92</v>
          </cell>
          <cell r="K49">
            <v>51.12571972</v>
          </cell>
          <cell r="M49">
            <v>0</v>
          </cell>
        </row>
        <row r="50">
          <cell r="I50">
            <v>65245.95</v>
          </cell>
          <cell r="N50">
            <v>19</v>
          </cell>
          <cell r="O50">
            <v>4</v>
          </cell>
        </row>
        <row r="51">
          <cell r="I51">
            <v>313801.95</v>
          </cell>
          <cell r="N51">
            <v>19</v>
          </cell>
          <cell r="O51">
            <v>4</v>
          </cell>
        </row>
        <row r="52">
          <cell r="I52">
            <v>1112574.2</v>
          </cell>
          <cell r="N52">
            <v>19</v>
          </cell>
          <cell r="O52">
            <v>8</v>
          </cell>
        </row>
        <row r="53">
          <cell r="I53">
            <v>4004</v>
          </cell>
          <cell r="N53">
            <v>19</v>
          </cell>
          <cell r="O53">
            <v>4</v>
          </cell>
        </row>
        <row r="54">
          <cell r="I54">
            <v>4477.2</v>
          </cell>
          <cell r="N54">
            <v>19</v>
          </cell>
          <cell r="O54">
            <v>8</v>
          </cell>
        </row>
        <row r="55">
          <cell r="I55">
            <v>1330</v>
          </cell>
          <cell r="N55">
            <v>19</v>
          </cell>
          <cell r="O55">
            <v>4</v>
          </cell>
        </row>
        <row r="56">
          <cell r="I56">
            <v>1668.8</v>
          </cell>
          <cell r="N56">
            <v>19</v>
          </cell>
          <cell r="O56">
            <v>8</v>
          </cell>
        </row>
        <row r="57">
          <cell r="I57">
            <v>13376</v>
          </cell>
          <cell r="N57">
            <v>19</v>
          </cell>
          <cell r="O57">
            <v>4</v>
          </cell>
        </row>
        <row r="58">
          <cell r="I58">
            <v>51586.5</v>
          </cell>
          <cell r="N58">
            <v>19</v>
          </cell>
          <cell r="O58">
            <v>8</v>
          </cell>
        </row>
        <row r="59">
          <cell r="I59">
            <v>15225</v>
          </cell>
          <cell r="N59">
            <v>19</v>
          </cell>
          <cell r="O59">
            <v>8</v>
          </cell>
        </row>
        <row r="60">
          <cell r="I60">
            <v>220500</v>
          </cell>
          <cell r="N60">
            <v>19</v>
          </cell>
          <cell r="O60">
            <v>4</v>
          </cell>
        </row>
        <row r="61">
          <cell r="I61">
            <v>73600</v>
          </cell>
          <cell r="N61">
            <v>19</v>
          </cell>
          <cell r="O61">
            <v>4</v>
          </cell>
        </row>
        <row r="62">
          <cell r="I62">
            <v>409800</v>
          </cell>
          <cell r="N62">
            <v>19</v>
          </cell>
          <cell r="O62">
            <v>4</v>
          </cell>
        </row>
        <row r="63">
          <cell r="I63">
            <v>9615</v>
          </cell>
          <cell r="N63">
            <v>19</v>
          </cell>
          <cell r="O63">
            <v>4</v>
          </cell>
        </row>
        <row r="64">
          <cell r="I64">
            <v>59850</v>
          </cell>
          <cell r="N64">
            <v>19</v>
          </cell>
          <cell r="O64">
            <v>8</v>
          </cell>
        </row>
        <row r="65">
          <cell r="I65">
            <v>438518.3</v>
          </cell>
          <cell r="N65">
            <v>19</v>
          </cell>
          <cell r="O65">
            <v>4</v>
          </cell>
        </row>
        <row r="66">
          <cell r="I66">
            <v>91732.02</v>
          </cell>
          <cell r="N66">
            <v>19</v>
          </cell>
          <cell r="O66">
            <v>4</v>
          </cell>
        </row>
        <row r="67">
          <cell r="I67">
            <v>157500</v>
          </cell>
          <cell r="N67">
            <v>19</v>
          </cell>
          <cell r="O67">
            <v>4</v>
          </cell>
        </row>
        <row r="68">
          <cell r="D68" t="str">
            <v>9</v>
          </cell>
          <cell r="E68" t="str">
            <v>Ostatní konstrukce a práce-bourání</v>
          </cell>
          <cell r="I68">
            <v>596686.3999999999</v>
          </cell>
          <cell r="K68">
            <v>0</v>
          </cell>
          <cell r="M68">
            <v>0</v>
          </cell>
        </row>
        <row r="69">
          <cell r="I69">
            <v>93705.61</v>
          </cell>
          <cell r="N69">
            <v>19</v>
          </cell>
          <cell r="O69">
            <v>4</v>
          </cell>
        </row>
        <row r="70">
          <cell r="I70">
            <v>52916.98</v>
          </cell>
          <cell r="N70">
            <v>19</v>
          </cell>
          <cell r="O70">
            <v>4</v>
          </cell>
        </row>
        <row r="71">
          <cell r="I71">
            <v>110576.02</v>
          </cell>
          <cell r="N71">
            <v>19</v>
          </cell>
          <cell r="O71">
            <v>4</v>
          </cell>
        </row>
        <row r="72">
          <cell r="I72">
            <v>339487.79</v>
          </cell>
          <cell r="N72">
            <v>19</v>
          </cell>
          <cell r="O72">
            <v>4</v>
          </cell>
        </row>
        <row r="73">
          <cell r="D73" t="str">
            <v>99</v>
          </cell>
          <cell r="E73" t="str">
            <v>Přesun hmot</v>
          </cell>
          <cell r="I73">
            <v>441725.81</v>
          </cell>
          <cell r="K73">
            <v>0</v>
          </cell>
          <cell r="M73">
            <v>0</v>
          </cell>
        </row>
        <row r="74">
          <cell r="I74">
            <v>441725.81</v>
          </cell>
          <cell r="N74">
            <v>19</v>
          </cell>
          <cell r="O74">
            <v>4</v>
          </cell>
        </row>
        <row r="75">
          <cell r="D75" t="str">
            <v>M</v>
          </cell>
          <cell r="E75" t="str">
            <v>Práce a dodávky M</v>
          </cell>
          <cell r="I75">
            <v>82280.15</v>
          </cell>
          <cell r="K75">
            <v>0</v>
          </cell>
          <cell r="M75">
            <v>0</v>
          </cell>
        </row>
        <row r="76">
          <cell r="D76" t="str">
            <v>23-M</v>
          </cell>
          <cell r="E76" t="str">
            <v>Montáže potrubí</v>
          </cell>
          <cell r="I76">
            <v>82280.15</v>
          </cell>
          <cell r="K76">
            <v>0</v>
          </cell>
          <cell r="M76">
            <v>0</v>
          </cell>
        </row>
        <row r="77">
          <cell r="I77">
            <v>61650</v>
          </cell>
          <cell r="N77">
            <v>19</v>
          </cell>
          <cell r="O77">
            <v>64</v>
          </cell>
        </row>
        <row r="78">
          <cell r="I78">
            <v>20630.15</v>
          </cell>
          <cell r="N78">
            <v>19</v>
          </cell>
          <cell r="O78">
            <v>64</v>
          </cell>
        </row>
        <row r="79">
          <cell r="I79">
            <v>10677061.05</v>
          </cell>
          <cell r="K79">
            <v>2795.7327189199996</v>
          </cell>
          <cell r="M79">
            <v>1077.738816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01 - 3. Rozpočet - standard na "/>
      <sheetName val="02 - 3. Rozpočet - standard na "/>
      <sheetName val="03 - 3. Rozpočet - standard na "/>
      <sheetName val="04 - 3. Rozpočet - standard na "/>
      <sheetName val="05 - 3. Rozpočet - standard na "/>
      <sheetName val="06 - 3. Rozpočet - standard na "/>
      <sheetName val="07 - 3. Rozpočet - standard na "/>
      <sheetName val="08 - 3. Rozpočet - standard na "/>
      <sheetName val="09 - 3. Rozpočet - standard na "/>
      <sheetName val="10 - 3. Rozpočet - standard na "/>
      <sheetName val="11 - 3. Rozpočet - standard na "/>
      <sheetName val="12 - 3. Rozpočet - standard na "/>
      <sheetName val="13 - 3. Rozpočet - standard na "/>
      <sheetName val="14 - 3. Rozpočet - standard na "/>
      <sheetName val="15 - 3. Rozpočet - standard na "/>
      <sheetName val="16 - 3. Rozpočet - standard na "/>
      <sheetName val="17 - 3. Rozpočet - standard na "/>
      <sheetName val="18 - 3. Rozpočet - standard na "/>
      <sheetName val="001 - 3. Rozpočet - standard na"/>
      <sheetName val="002 - 3. Rozpočet - standard na"/>
      <sheetName val="003 - 3. Rozpočet - standard na"/>
      <sheetName val="004 - 3. Rozpočet - standard na"/>
      <sheetName val="005 - 3. Rozpočet - standard na"/>
      <sheetName val="006 - 3. Rozpočet - standard na"/>
      <sheetName val="007 - 3. Rozpočet - standard na"/>
      <sheetName val="008 - 3. Rozpočet - standard na"/>
      <sheetName val="009 - 3. Rozpočet - standard na"/>
      <sheetName val="010 - 3. Rozpočet - standard na"/>
      <sheetName val="011 - 3. Rozpočet - standard na"/>
      <sheetName val="012 - 3. Rozpočet - standard na"/>
      <sheetName val="013 - 3. Rozpočet - standard na"/>
      <sheetName val="014 - 3. Rozpočet - standard na"/>
      <sheetName val="015 - 3. Rozpočet - standard na"/>
      <sheetName val="016 - 3. Rozpočet - standard na"/>
      <sheetName val="017 - 3. Rozpočet - standard na"/>
      <sheetName val="018 - 3. Rozpočet - standard na"/>
      <sheetName val="019 - 3. Rozpočet - standard na"/>
      <sheetName val="020 - 3. Rozpočet - standard na"/>
      <sheetName val="021 - 3. Rozpočet - standard na"/>
      <sheetName val="022 - 3. Rozpočet - standard na"/>
      <sheetName val="023 - 3. Rozpočet - standard na"/>
      <sheetName val="024 - 3. Rozpočet - standard na"/>
      <sheetName val="025 - 3. Rozpočet - standard na"/>
      <sheetName val="026 - 3. Rozpočet - standard na"/>
      <sheetName val="027 - 3. Rozpočet - standard na"/>
      <sheetName val="028 - 3. Rozpočet - standard na"/>
      <sheetName val="029 - 3. Rozpočet - standard na"/>
      <sheetName val="030 - 3. Rozpočet - standard na"/>
      <sheetName val="031 - 3. Rozpočet - standard na"/>
      <sheetName val="032 - 3. Rozpočet - standard na"/>
      <sheetName val="033 - 3. Rozpočet - standard na"/>
      <sheetName val="034 - 3. Rozpočet - standard na"/>
      <sheetName val="035 - 3. Rozpočet - standard na"/>
      <sheetName val="036 - 3. Rozpočet - standard na"/>
      <sheetName val="037 - 3. Rozpočet - standard na"/>
      <sheetName val="038 - 3. Rozpočet - standard na"/>
      <sheetName val="039 - 3. Rozpočet - standard na"/>
      <sheetName val="040 - 3. Rozpočet - standard na"/>
      <sheetName val="041 - 3. Rozpočet - standard na"/>
      <sheetName val="042 - 3. Rozpočet - standard na"/>
      <sheetName val="043 - 3. Rozpočet - standard na"/>
      <sheetName val="044 - 3. Rozpočet - standard na"/>
      <sheetName val="045 - 3. Rozpočet - standard na"/>
      <sheetName val="046 - 3. Rozpočet - standard na"/>
      <sheetName val="047 - 3. Rozpočet - standard na"/>
      <sheetName val="048 - 3. Rozpočet - standard na"/>
      <sheetName val="049 - 3. Rozpočet - standard na"/>
      <sheetName val="052 - 3. Rozpočet - standard na"/>
      <sheetName val="18 - 3. Rozpočet - standard (1)"/>
      <sheetName val="19 - 3. Rozpočet - standard na "/>
      <sheetName val="3.1 mimoradne"/>
      <sheetName val="4.1 monitoring"/>
      <sheetName val="5.1 zařízení staveniště"/>
      <sheetName val="6.1 dačasný zábo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RA DN 400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24330592.08</v>
          </cell>
          <cell r="K14">
            <v>1673.6502079499999</v>
          </cell>
          <cell r="M14">
            <v>359.784</v>
          </cell>
        </row>
        <row r="15">
          <cell r="D15" t="str">
            <v>1</v>
          </cell>
          <cell r="E15" t="str">
            <v>Zemní práce</v>
          </cell>
          <cell r="I15">
            <v>7556239.869999999</v>
          </cell>
          <cell r="K15">
            <v>1015.8464597</v>
          </cell>
          <cell r="M15">
            <v>359.784</v>
          </cell>
        </row>
        <row r="16">
          <cell r="I16">
            <v>45980</v>
          </cell>
          <cell r="N16">
            <v>19</v>
          </cell>
          <cell r="O16">
            <v>4</v>
          </cell>
        </row>
        <row r="17">
          <cell r="I17">
            <v>483</v>
          </cell>
          <cell r="N17">
            <v>19</v>
          </cell>
          <cell r="O17">
            <v>4</v>
          </cell>
        </row>
        <row r="18">
          <cell r="I18">
            <v>789</v>
          </cell>
          <cell r="N18">
            <v>19</v>
          </cell>
          <cell r="O18">
            <v>4</v>
          </cell>
        </row>
        <row r="19">
          <cell r="I19">
            <v>8464.5</v>
          </cell>
          <cell r="N19">
            <v>19</v>
          </cell>
          <cell r="O19">
            <v>4</v>
          </cell>
        </row>
        <row r="20">
          <cell r="I20">
            <v>17134.2</v>
          </cell>
          <cell r="N20">
            <v>19</v>
          </cell>
          <cell r="O20">
            <v>4</v>
          </cell>
        </row>
        <row r="21">
          <cell r="I21">
            <v>10260</v>
          </cell>
          <cell r="N21">
            <v>19</v>
          </cell>
          <cell r="O21">
            <v>4</v>
          </cell>
        </row>
        <row r="22">
          <cell r="I22">
            <v>106020</v>
          </cell>
          <cell r="N22">
            <v>19</v>
          </cell>
          <cell r="O22">
            <v>4</v>
          </cell>
        </row>
        <row r="23">
          <cell r="I23">
            <v>775008</v>
          </cell>
          <cell r="N23">
            <v>19</v>
          </cell>
          <cell r="O23">
            <v>4</v>
          </cell>
        </row>
        <row r="24">
          <cell r="I24">
            <v>17971.2</v>
          </cell>
          <cell r="N24">
            <v>19</v>
          </cell>
          <cell r="O24">
            <v>4</v>
          </cell>
        </row>
        <row r="25">
          <cell r="I25">
            <v>2205</v>
          </cell>
          <cell r="N25">
            <v>19</v>
          </cell>
          <cell r="O25">
            <v>4</v>
          </cell>
        </row>
        <row r="26">
          <cell r="I26">
            <v>1732.5</v>
          </cell>
          <cell r="N26">
            <v>19</v>
          </cell>
          <cell r="O26">
            <v>4</v>
          </cell>
        </row>
        <row r="27">
          <cell r="I27">
            <v>23092.06</v>
          </cell>
          <cell r="N27">
            <v>19</v>
          </cell>
          <cell r="O27">
            <v>4</v>
          </cell>
        </row>
        <row r="28">
          <cell r="I28">
            <v>695844.95</v>
          </cell>
          <cell r="N28">
            <v>19</v>
          </cell>
          <cell r="O28">
            <v>4</v>
          </cell>
        </row>
        <row r="29">
          <cell r="I29">
            <v>179572.89</v>
          </cell>
          <cell r="N29">
            <v>19</v>
          </cell>
          <cell r="O29">
            <v>4</v>
          </cell>
        </row>
        <row r="30">
          <cell r="I30">
            <v>2289998.82</v>
          </cell>
          <cell r="N30">
            <v>19</v>
          </cell>
          <cell r="O30">
            <v>4</v>
          </cell>
        </row>
        <row r="31">
          <cell r="I31">
            <v>643675.34</v>
          </cell>
          <cell r="N31">
            <v>19</v>
          </cell>
          <cell r="O31">
            <v>4</v>
          </cell>
        </row>
        <row r="32">
          <cell r="I32">
            <v>540121.54</v>
          </cell>
          <cell r="N32">
            <v>19</v>
          </cell>
          <cell r="O32">
            <v>4</v>
          </cell>
        </row>
        <row r="33">
          <cell r="I33">
            <v>88.8</v>
          </cell>
          <cell r="N33">
            <v>19</v>
          </cell>
          <cell r="O33">
            <v>4</v>
          </cell>
        </row>
        <row r="34">
          <cell r="I34">
            <v>1305</v>
          </cell>
          <cell r="N34">
            <v>19</v>
          </cell>
          <cell r="O34">
            <v>4</v>
          </cell>
        </row>
        <row r="35">
          <cell r="I35">
            <v>345</v>
          </cell>
          <cell r="N35">
            <v>19</v>
          </cell>
          <cell r="O35">
            <v>4</v>
          </cell>
        </row>
        <row r="36">
          <cell r="I36">
            <v>21.3</v>
          </cell>
          <cell r="N36">
            <v>19</v>
          </cell>
          <cell r="O36">
            <v>4</v>
          </cell>
        </row>
        <row r="37">
          <cell r="I37">
            <v>44.4</v>
          </cell>
          <cell r="N37">
            <v>19</v>
          </cell>
          <cell r="O37">
            <v>4</v>
          </cell>
        </row>
        <row r="38">
          <cell r="I38">
            <v>67.8</v>
          </cell>
          <cell r="N38">
            <v>19</v>
          </cell>
          <cell r="O38">
            <v>4</v>
          </cell>
        </row>
        <row r="39">
          <cell r="I39">
            <v>438216.87</v>
          </cell>
          <cell r="N39">
            <v>19</v>
          </cell>
          <cell r="O39">
            <v>4</v>
          </cell>
        </row>
        <row r="40">
          <cell r="I40">
            <v>630197.59</v>
          </cell>
          <cell r="N40">
            <v>19</v>
          </cell>
          <cell r="O40">
            <v>4</v>
          </cell>
        </row>
        <row r="41">
          <cell r="I41">
            <v>8588.8</v>
          </cell>
          <cell r="N41">
            <v>19</v>
          </cell>
          <cell r="O41">
            <v>4</v>
          </cell>
        </row>
        <row r="42">
          <cell r="I42">
            <v>497517.16</v>
          </cell>
          <cell r="N42">
            <v>19</v>
          </cell>
          <cell r="O42">
            <v>4</v>
          </cell>
        </row>
        <row r="43">
          <cell r="I43">
            <v>370284.35</v>
          </cell>
          <cell r="N43">
            <v>19</v>
          </cell>
          <cell r="O43">
            <v>8</v>
          </cell>
        </row>
        <row r="44">
          <cell r="I44">
            <v>133643.79</v>
          </cell>
          <cell r="N44">
            <v>19</v>
          </cell>
          <cell r="O44">
            <v>4</v>
          </cell>
        </row>
        <row r="45">
          <cell r="I45">
            <v>57800</v>
          </cell>
          <cell r="N45">
            <v>19</v>
          </cell>
          <cell r="O45">
            <v>4</v>
          </cell>
        </row>
        <row r="46">
          <cell r="I46">
            <v>54885.43</v>
          </cell>
          <cell r="N46">
            <v>19</v>
          </cell>
          <cell r="O46">
            <v>4</v>
          </cell>
        </row>
        <row r="47">
          <cell r="I47">
            <v>4880.58</v>
          </cell>
          <cell r="N47">
            <v>19</v>
          </cell>
          <cell r="O47">
            <v>8</v>
          </cell>
        </row>
        <row r="48">
          <cell r="D48" t="str">
            <v>1-1</v>
          </cell>
          <cell r="E48" t="str">
            <v>Protlak</v>
          </cell>
          <cell r="I48">
            <v>731134.9500000001</v>
          </cell>
          <cell r="K48">
            <v>2.3121967999999997</v>
          </cell>
          <cell r="M48">
            <v>0</v>
          </cell>
        </row>
        <row r="49">
          <cell r="I49">
            <v>319200</v>
          </cell>
          <cell r="N49">
            <v>19</v>
          </cell>
          <cell r="O49">
            <v>4</v>
          </cell>
        </row>
        <row r="50">
          <cell r="I50">
            <v>76907.25</v>
          </cell>
          <cell r="N50">
            <v>19</v>
          </cell>
          <cell r="O50">
            <v>8</v>
          </cell>
        </row>
        <row r="51">
          <cell r="I51">
            <v>317137.8</v>
          </cell>
          <cell r="N51">
            <v>19</v>
          </cell>
          <cell r="O51">
            <v>4</v>
          </cell>
        </row>
        <row r="52">
          <cell r="I52">
            <v>7389.9</v>
          </cell>
          <cell r="N52">
            <v>19</v>
          </cell>
          <cell r="O52">
            <v>4</v>
          </cell>
        </row>
        <row r="53">
          <cell r="I53">
            <v>10500</v>
          </cell>
          <cell r="N53">
            <v>19</v>
          </cell>
          <cell r="O53">
            <v>4</v>
          </cell>
        </row>
        <row r="54">
          <cell r="D54" t="str">
            <v>2</v>
          </cell>
          <cell r="E54" t="str">
            <v>Zakládání</v>
          </cell>
          <cell r="I54">
            <v>338966.52</v>
          </cell>
          <cell r="K54">
            <v>389.2785793</v>
          </cell>
          <cell r="M54">
            <v>0</v>
          </cell>
        </row>
        <row r="55">
          <cell r="I55">
            <v>285246.52</v>
          </cell>
          <cell r="N55">
            <v>19</v>
          </cell>
          <cell r="O55">
            <v>4</v>
          </cell>
        </row>
        <row r="56">
          <cell r="I56">
            <v>53720</v>
          </cell>
          <cell r="N56">
            <v>19</v>
          </cell>
          <cell r="O56">
            <v>4</v>
          </cell>
        </row>
        <row r="57">
          <cell r="D57" t="str">
            <v>4</v>
          </cell>
          <cell r="E57" t="str">
            <v>Vodorovné konstrukce</v>
          </cell>
          <cell r="I57">
            <v>585219.3200000001</v>
          </cell>
          <cell r="K57">
            <v>1.6822936400000001</v>
          </cell>
          <cell r="M57">
            <v>0</v>
          </cell>
        </row>
        <row r="58">
          <cell r="I58">
            <v>511453.13</v>
          </cell>
          <cell r="N58">
            <v>19</v>
          </cell>
          <cell r="O58">
            <v>4</v>
          </cell>
        </row>
        <row r="59">
          <cell r="I59">
            <v>73766.19</v>
          </cell>
          <cell r="N59">
            <v>19</v>
          </cell>
          <cell r="O59">
            <v>4</v>
          </cell>
        </row>
        <row r="60">
          <cell r="D60" t="str">
            <v>5</v>
          </cell>
          <cell r="E60" t="str">
            <v>Komunikace</v>
          </cell>
          <cell r="I60">
            <v>390187.8</v>
          </cell>
          <cell r="K60">
            <v>1.2312</v>
          </cell>
          <cell r="M60">
            <v>0</v>
          </cell>
        </row>
        <row r="61">
          <cell r="I61">
            <v>42835.5</v>
          </cell>
          <cell r="N61">
            <v>19</v>
          </cell>
          <cell r="O61">
            <v>4</v>
          </cell>
        </row>
        <row r="62">
          <cell r="I62">
            <v>105934.5</v>
          </cell>
          <cell r="N62">
            <v>19</v>
          </cell>
          <cell r="O62">
            <v>4</v>
          </cell>
        </row>
        <row r="63">
          <cell r="I63">
            <v>120127.5</v>
          </cell>
          <cell r="N63">
            <v>19</v>
          </cell>
          <cell r="O63">
            <v>4</v>
          </cell>
        </row>
        <row r="64">
          <cell r="I64">
            <v>100462.5</v>
          </cell>
          <cell r="N64">
            <v>19</v>
          </cell>
          <cell r="O64">
            <v>4</v>
          </cell>
        </row>
        <row r="65">
          <cell r="I65">
            <v>20827.8</v>
          </cell>
          <cell r="N65">
            <v>19</v>
          </cell>
          <cell r="O65">
            <v>4</v>
          </cell>
        </row>
        <row r="66">
          <cell r="D66" t="str">
            <v>8</v>
          </cell>
          <cell r="E66" t="str">
            <v>Trubní vedení</v>
          </cell>
          <cell r="I66">
            <v>14270708.93</v>
          </cell>
          <cell r="K66">
            <v>263.29947851</v>
          </cell>
          <cell r="M66">
            <v>0</v>
          </cell>
        </row>
        <row r="67">
          <cell r="I67">
            <v>175126.35</v>
          </cell>
          <cell r="N67">
            <v>19</v>
          </cell>
          <cell r="O67">
            <v>4</v>
          </cell>
        </row>
        <row r="68">
          <cell r="I68">
            <v>186108.3</v>
          </cell>
          <cell r="N68">
            <v>19</v>
          </cell>
          <cell r="O68">
            <v>4</v>
          </cell>
        </row>
        <row r="69">
          <cell r="I69">
            <v>1000722</v>
          </cell>
          <cell r="N69">
            <v>19</v>
          </cell>
          <cell r="O69">
            <v>4</v>
          </cell>
        </row>
        <row r="70">
          <cell r="I70">
            <v>6576869.88</v>
          </cell>
          <cell r="N70">
            <v>19</v>
          </cell>
          <cell r="O70">
            <v>8</v>
          </cell>
        </row>
        <row r="71">
          <cell r="I71">
            <v>154</v>
          </cell>
          <cell r="N71">
            <v>19</v>
          </cell>
          <cell r="O71">
            <v>4</v>
          </cell>
        </row>
        <row r="72">
          <cell r="I72">
            <v>172.2</v>
          </cell>
          <cell r="N72">
            <v>19</v>
          </cell>
          <cell r="O72">
            <v>8</v>
          </cell>
        </row>
        <row r="73">
          <cell r="I73">
            <v>719</v>
          </cell>
          <cell r="N73">
            <v>19</v>
          </cell>
          <cell r="O73">
            <v>4</v>
          </cell>
        </row>
        <row r="74">
          <cell r="I74">
            <v>5134.5</v>
          </cell>
          <cell r="N74">
            <v>19</v>
          </cell>
          <cell r="O74">
            <v>8</v>
          </cell>
        </row>
        <row r="75">
          <cell r="I75">
            <v>78900</v>
          </cell>
          <cell r="N75">
            <v>19</v>
          </cell>
          <cell r="O75">
            <v>4</v>
          </cell>
        </row>
        <row r="76">
          <cell r="I76">
            <v>441000</v>
          </cell>
          <cell r="N76">
            <v>19</v>
          </cell>
          <cell r="O76">
            <v>4</v>
          </cell>
        </row>
        <row r="77">
          <cell r="I77">
            <v>809600</v>
          </cell>
          <cell r="N77">
            <v>19</v>
          </cell>
          <cell r="O77">
            <v>4</v>
          </cell>
        </row>
        <row r="78">
          <cell r="I78">
            <v>84000</v>
          </cell>
          <cell r="N78">
            <v>19</v>
          </cell>
          <cell r="O78">
            <v>4</v>
          </cell>
        </row>
        <row r="79">
          <cell r="I79">
            <v>26281</v>
          </cell>
          <cell r="N79">
            <v>19</v>
          </cell>
          <cell r="O79">
            <v>4</v>
          </cell>
        </row>
        <row r="80">
          <cell r="I80">
            <v>31920</v>
          </cell>
          <cell r="N80">
            <v>19</v>
          </cell>
          <cell r="O80">
            <v>8</v>
          </cell>
        </row>
        <row r="81">
          <cell r="I81">
            <v>86625</v>
          </cell>
          <cell r="N81">
            <v>19</v>
          </cell>
          <cell r="O81">
            <v>8</v>
          </cell>
        </row>
        <row r="82">
          <cell r="I82">
            <v>2756570.56</v>
          </cell>
          <cell r="N82">
            <v>19</v>
          </cell>
          <cell r="O82">
            <v>4</v>
          </cell>
        </row>
        <row r="83">
          <cell r="I83">
            <v>41227.2</v>
          </cell>
          <cell r="N83">
            <v>19</v>
          </cell>
          <cell r="O83">
            <v>4</v>
          </cell>
        </row>
        <row r="84">
          <cell r="I84">
            <v>280778.94</v>
          </cell>
          <cell r="N84">
            <v>19</v>
          </cell>
          <cell r="O84">
            <v>4</v>
          </cell>
        </row>
        <row r="85">
          <cell r="I85">
            <v>10500</v>
          </cell>
          <cell r="N85">
            <v>19</v>
          </cell>
          <cell r="O85">
            <v>4</v>
          </cell>
        </row>
        <row r="86">
          <cell r="I86">
            <v>430500</v>
          </cell>
          <cell r="N86">
            <v>19</v>
          </cell>
          <cell r="O86">
            <v>4</v>
          </cell>
        </row>
        <row r="87">
          <cell r="I87">
            <v>277200</v>
          </cell>
          <cell r="N87">
            <v>19</v>
          </cell>
          <cell r="O87">
            <v>4</v>
          </cell>
        </row>
        <row r="88">
          <cell r="I88">
            <v>762700</v>
          </cell>
          <cell r="N88">
            <v>19</v>
          </cell>
          <cell r="O88">
            <v>4</v>
          </cell>
        </row>
        <row r="89">
          <cell r="I89">
            <v>207900</v>
          </cell>
          <cell r="N89">
            <v>19</v>
          </cell>
          <cell r="O89">
            <v>4</v>
          </cell>
        </row>
        <row r="90">
          <cell r="D90" t="str">
            <v>9</v>
          </cell>
          <cell r="E90" t="str">
            <v>Ostatní konstrukce a práce-bourání</v>
          </cell>
          <cell r="I90">
            <v>193697.99</v>
          </cell>
          <cell r="K90">
            <v>0</v>
          </cell>
          <cell r="M90">
            <v>0</v>
          </cell>
        </row>
        <row r="91">
          <cell r="I91">
            <v>25786.8</v>
          </cell>
          <cell r="N91">
            <v>19</v>
          </cell>
          <cell r="O91">
            <v>4</v>
          </cell>
        </row>
        <row r="92">
          <cell r="I92">
            <v>17665.39</v>
          </cell>
          <cell r="N92">
            <v>19</v>
          </cell>
          <cell r="O92">
            <v>4</v>
          </cell>
        </row>
        <row r="93">
          <cell r="I93">
            <v>36913.84</v>
          </cell>
          <cell r="N93">
            <v>19</v>
          </cell>
          <cell r="O93">
            <v>4</v>
          </cell>
        </row>
        <row r="94">
          <cell r="I94">
            <v>113331.96</v>
          </cell>
          <cell r="N94">
            <v>19</v>
          </cell>
          <cell r="O94">
            <v>4</v>
          </cell>
        </row>
        <row r="95">
          <cell r="D95" t="str">
            <v>99</v>
          </cell>
          <cell r="E95" t="str">
            <v>Přesun hmot</v>
          </cell>
          <cell r="I95">
            <v>264436.7</v>
          </cell>
          <cell r="K95">
            <v>0</v>
          </cell>
          <cell r="M95">
            <v>0</v>
          </cell>
        </row>
        <row r="96">
          <cell r="I96">
            <v>264436.7</v>
          </cell>
          <cell r="N96">
            <v>19</v>
          </cell>
          <cell r="O96">
            <v>4</v>
          </cell>
        </row>
        <row r="97">
          <cell r="D97" t="str">
            <v>M</v>
          </cell>
          <cell r="E97" t="str">
            <v>Práce a dodávky M</v>
          </cell>
          <cell r="I97">
            <v>308254.66000000003</v>
          </cell>
          <cell r="K97">
            <v>0</v>
          </cell>
          <cell r="M97">
            <v>0</v>
          </cell>
        </row>
        <row r="98">
          <cell r="D98" t="str">
            <v>23-M</v>
          </cell>
          <cell r="E98" t="str">
            <v>Montáže potrubí</v>
          </cell>
          <cell r="I98">
            <v>308254.66000000003</v>
          </cell>
          <cell r="K98">
            <v>0</v>
          </cell>
          <cell r="M98">
            <v>0</v>
          </cell>
        </row>
        <row r="99">
          <cell r="I99">
            <v>214020</v>
          </cell>
          <cell r="N99">
            <v>19</v>
          </cell>
          <cell r="O99">
            <v>64</v>
          </cell>
        </row>
        <row r="100">
          <cell r="I100">
            <v>94234.66</v>
          </cell>
          <cell r="N100">
            <v>19</v>
          </cell>
          <cell r="O100">
            <v>64</v>
          </cell>
        </row>
        <row r="101">
          <cell r="I101">
            <v>24638846.74</v>
          </cell>
          <cell r="K101">
            <v>1673.6502079499999</v>
          </cell>
          <cell r="M101">
            <v>359.784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RA SKL DN 400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102422.58</v>
          </cell>
          <cell r="K14">
            <v>0.6408</v>
          </cell>
          <cell r="M14">
            <v>0</v>
          </cell>
        </row>
        <row r="15">
          <cell r="D15" t="str">
            <v>1-1</v>
          </cell>
          <cell r="E15" t="str">
            <v>Protlak</v>
          </cell>
          <cell r="I15">
            <v>10500</v>
          </cell>
          <cell r="K15">
            <v>0</v>
          </cell>
          <cell r="M15">
            <v>0</v>
          </cell>
        </row>
        <row r="16">
          <cell r="I16">
            <v>10500</v>
          </cell>
          <cell r="N16">
            <v>19</v>
          </cell>
          <cell r="O16">
            <v>4</v>
          </cell>
        </row>
        <row r="17">
          <cell r="D17" t="str">
            <v>8</v>
          </cell>
          <cell r="E17" t="str">
            <v>Trubní vedení</v>
          </cell>
          <cell r="I17">
            <v>91821.3</v>
          </cell>
          <cell r="K17">
            <v>0.6408</v>
          </cell>
          <cell r="M17">
            <v>0</v>
          </cell>
        </row>
        <row r="18">
          <cell r="I18">
            <v>11641.2</v>
          </cell>
          <cell r="N18">
            <v>19</v>
          </cell>
          <cell r="O18">
            <v>4</v>
          </cell>
        </row>
        <row r="19">
          <cell r="I19">
            <v>80180.1</v>
          </cell>
          <cell r="N19">
            <v>19</v>
          </cell>
          <cell r="O19">
            <v>8</v>
          </cell>
        </row>
        <row r="20">
          <cell r="D20" t="str">
            <v>99</v>
          </cell>
          <cell r="E20" t="str">
            <v>Přesun hmot</v>
          </cell>
          <cell r="I20">
            <v>101.28</v>
          </cell>
          <cell r="K20">
            <v>0</v>
          </cell>
          <cell r="M20">
            <v>0</v>
          </cell>
        </row>
        <row r="21">
          <cell r="I21">
            <v>101.28</v>
          </cell>
          <cell r="N21">
            <v>19</v>
          </cell>
          <cell r="O21">
            <v>4</v>
          </cell>
        </row>
        <row r="22">
          <cell r="D22" t="str">
            <v>M</v>
          </cell>
          <cell r="E22" t="str">
            <v>Práce a dodávky M</v>
          </cell>
          <cell r="I22">
            <v>8216.76</v>
          </cell>
          <cell r="K22">
            <v>0</v>
          </cell>
          <cell r="M22">
            <v>0</v>
          </cell>
        </row>
        <row r="23">
          <cell r="D23" t="str">
            <v>23-M</v>
          </cell>
          <cell r="E23" t="str">
            <v>Montáže potrubí</v>
          </cell>
          <cell r="I23">
            <v>8216.76</v>
          </cell>
          <cell r="K23">
            <v>0</v>
          </cell>
          <cell r="M23">
            <v>0</v>
          </cell>
        </row>
        <row r="24">
          <cell r="I24">
            <v>5220</v>
          </cell>
          <cell r="N24">
            <v>19</v>
          </cell>
          <cell r="O24">
            <v>64</v>
          </cell>
        </row>
        <row r="25">
          <cell r="I25">
            <v>2996.76</v>
          </cell>
          <cell r="N25">
            <v>19</v>
          </cell>
          <cell r="O25">
            <v>64</v>
          </cell>
        </row>
        <row r="26">
          <cell r="I26">
            <v>110639.34</v>
          </cell>
          <cell r="K26">
            <v>0.6408</v>
          </cell>
          <cell r="M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K1 DN 400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518879.19</v>
          </cell>
          <cell r="K14">
            <v>99.20523618</v>
          </cell>
          <cell r="M14">
            <v>49.0232</v>
          </cell>
        </row>
        <row r="15">
          <cell r="D15" t="str">
            <v>1</v>
          </cell>
          <cell r="E15" t="str">
            <v>Zemní práce</v>
          </cell>
          <cell r="I15">
            <v>170888.65</v>
          </cell>
          <cell r="K15">
            <v>89.5308185</v>
          </cell>
          <cell r="M15">
            <v>49.0232</v>
          </cell>
        </row>
        <row r="16">
          <cell r="I16">
            <v>1153.35</v>
          </cell>
          <cell r="N16">
            <v>19</v>
          </cell>
          <cell r="O16">
            <v>4</v>
          </cell>
        </row>
        <row r="17">
          <cell r="I17">
            <v>2334.66</v>
          </cell>
          <cell r="N17">
            <v>19</v>
          </cell>
          <cell r="O17">
            <v>4</v>
          </cell>
        </row>
        <row r="18">
          <cell r="I18">
            <v>1398</v>
          </cell>
          <cell r="N18">
            <v>19</v>
          </cell>
          <cell r="O18">
            <v>4</v>
          </cell>
        </row>
        <row r="19">
          <cell r="I19">
            <v>14446</v>
          </cell>
          <cell r="N19">
            <v>19</v>
          </cell>
          <cell r="O19">
            <v>4</v>
          </cell>
        </row>
        <row r="20">
          <cell r="I20">
            <v>23184</v>
          </cell>
          <cell r="N20">
            <v>19</v>
          </cell>
          <cell r="O20">
            <v>4</v>
          </cell>
        </row>
        <row r="21">
          <cell r="I21">
            <v>537.6</v>
          </cell>
          <cell r="N21">
            <v>19</v>
          </cell>
          <cell r="O21">
            <v>4</v>
          </cell>
        </row>
        <row r="22">
          <cell r="I22">
            <v>367.5</v>
          </cell>
          <cell r="N22">
            <v>19</v>
          </cell>
          <cell r="O22">
            <v>4</v>
          </cell>
        </row>
        <row r="23">
          <cell r="I23">
            <v>14294.6</v>
          </cell>
          <cell r="N23">
            <v>19</v>
          </cell>
          <cell r="O23">
            <v>4</v>
          </cell>
        </row>
        <row r="24">
          <cell r="I24">
            <v>1829.71</v>
          </cell>
          <cell r="N24">
            <v>19</v>
          </cell>
          <cell r="O24">
            <v>4</v>
          </cell>
        </row>
        <row r="25">
          <cell r="I25">
            <v>23276.7</v>
          </cell>
          <cell r="N25">
            <v>19</v>
          </cell>
          <cell r="O25">
            <v>4</v>
          </cell>
        </row>
        <row r="26">
          <cell r="I26">
            <v>6542.64</v>
          </cell>
          <cell r="N26">
            <v>19</v>
          </cell>
          <cell r="O26">
            <v>4</v>
          </cell>
        </row>
        <row r="27">
          <cell r="I27">
            <v>5503.4</v>
          </cell>
          <cell r="N27">
            <v>19</v>
          </cell>
          <cell r="O27">
            <v>4</v>
          </cell>
        </row>
        <row r="28">
          <cell r="I28">
            <v>15009.33</v>
          </cell>
          <cell r="N28">
            <v>19</v>
          </cell>
          <cell r="O28">
            <v>4</v>
          </cell>
        </row>
        <row r="29">
          <cell r="I29">
            <v>21584.85</v>
          </cell>
          <cell r="N29">
            <v>19</v>
          </cell>
          <cell r="O29">
            <v>4</v>
          </cell>
        </row>
        <row r="30">
          <cell r="I30">
            <v>6136.02</v>
          </cell>
          <cell r="N30">
            <v>19</v>
          </cell>
          <cell r="O30">
            <v>4</v>
          </cell>
        </row>
        <row r="31">
          <cell r="I31">
            <v>33290.29</v>
          </cell>
          <cell r="N31">
            <v>19</v>
          </cell>
          <cell r="O31">
            <v>8</v>
          </cell>
        </row>
        <row r="32">
          <cell r="D32" t="str">
            <v>2</v>
          </cell>
          <cell r="E32" t="str">
            <v>Zakládání</v>
          </cell>
          <cell r="I32">
            <v>5587.6</v>
          </cell>
          <cell r="K32">
            <v>5.469209</v>
          </cell>
          <cell r="M32">
            <v>0</v>
          </cell>
        </row>
        <row r="33">
          <cell r="I33">
            <v>4007.6</v>
          </cell>
          <cell r="N33">
            <v>19</v>
          </cell>
          <cell r="O33">
            <v>4</v>
          </cell>
        </row>
        <row r="34">
          <cell r="I34">
            <v>1580</v>
          </cell>
          <cell r="N34">
            <v>19</v>
          </cell>
          <cell r="O34">
            <v>4</v>
          </cell>
        </row>
        <row r="35">
          <cell r="D35" t="str">
            <v>4</v>
          </cell>
          <cell r="E35" t="str">
            <v>Vodorovné konstrukce</v>
          </cell>
          <cell r="I35">
            <v>8222.1</v>
          </cell>
          <cell r="K35">
            <v>0.02363552</v>
          </cell>
          <cell r="M35">
            <v>0</v>
          </cell>
        </row>
        <row r="36">
          <cell r="I36">
            <v>7185.72</v>
          </cell>
          <cell r="N36">
            <v>19</v>
          </cell>
          <cell r="O36">
            <v>4</v>
          </cell>
        </row>
        <row r="37">
          <cell r="I37">
            <v>1036.38</v>
          </cell>
          <cell r="N37">
            <v>19</v>
          </cell>
          <cell r="O37">
            <v>4</v>
          </cell>
        </row>
        <row r="38">
          <cell r="D38" t="str">
            <v>5</v>
          </cell>
          <cell r="E38" t="str">
            <v>Komunikace</v>
          </cell>
          <cell r="I38">
            <v>53165.94</v>
          </cell>
          <cell r="K38">
            <v>0.16776</v>
          </cell>
          <cell r="M38">
            <v>0</v>
          </cell>
        </row>
        <row r="39">
          <cell r="I39">
            <v>5836.65</v>
          </cell>
          <cell r="N39">
            <v>19</v>
          </cell>
          <cell r="O39">
            <v>4</v>
          </cell>
        </row>
        <row r="40">
          <cell r="I40">
            <v>14434.35</v>
          </cell>
          <cell r="N40">
            <v>19</v>
          </cell>
          <cell r="O40">
            <v>4</v>
          </cell>
        </row>
        <row r="41">
          <cell r="I41">
            <v>16368.25</v>
          </cell>
          <cell r="N41">
            <v>19</v>
          </cell>
          <cell r="O41">
            <v>4</v>
          </cell>
        </row>
        <row r="42">
          <cell r="I42">
            <v>13688.75</v>
          </cell>
          <cell r="N42">
            <v>19</v>
          </cell>
          <cell r="O42">
            <v>4</v>
          </cell>
        </row>
        <row r="43">
          <cell r="I43">
            <v>2837.94</v>
          </cell>
          <cell r="N43">
            <v>19</v>
          </cell>
          <cell r="O43">
            <v>4</v>
          </cell>
        </row>
        <row r="44">
          <cell r="D44" t="str">
            <v>8</v>
          </cell>
          <cell r="E44" t="str">
            <v>Trubní vedení</v>
          </cell>
          <cell r="I44">
            <v>238947.83</v>
          </cell>
          <cell r="K44">
            <v>4.01381316</v>
          </cell>
          <cell r="M44">
            <v>0</v>
          </cell>
        </row>
        <row r="45">
          <cell r="I45">
            <v>2446.5</v>
          </cell>
          <cell r="N45">
            <v>19</v>
          </cell>
          <cell r="O45">
            <v>4</v>
          </cell>
        </row>
        <row r="46">
          <cell r="I46">
            <v>13980</v>
          </cell>
          <cell r="N46">
            <v>19</v>
          </cell>
          <cell r="O46">
            <v>4</v>
          </cell>
        </row>
        <row r="47">
          <cell r="I47">
            <v>91880.25</v>
          </cell>
          <cell r="N47">
            <v>19</v>
          </cell>
          <cell r="O47">
            <v>8</v>
          </cell>
        </row>
        <row r="48">
          <cell r="I48">
            <v>26300</v>
          </cell>
          <cell r="N48">
            <v>19</v>
          </cell>
          <cell r="O48">
            <v>4</v>
          </cell>
        </row>
        <row r="49">
          <cell r="I49">
            <v>31500</v>
          </cell>
          <cell r="N49">
            <v>19</v>
          </cell>
          <cell r="O49">
            <v>4</v>
          </cell>
        </row>
        <row r="50">
          <cell r="I50">
            <v>1282</v>
          </cell>
          <cell r="N50">
            <v>19</v>
          </cell>
          <cell r="O50">
            <v>4</v>
          </cell>
        </row>
        <row r="51">
          <cell r="I51">
            <v>7980</v>
          </cell>
          <cell r="N51">
            <v>19</v>
          </cell>
          <cell r="O51">
            <v>8</v>
          </cell>
        </row>
        <row r="52">
          <cell r="I52">
            <v>38729.92</v>
          </cell>
          <cell r="N52">
            <v>19</v>
          </cell>
          <cell r="O52">
            <v>4</v>
          </cell>
        </row>
        <row r="53">
          <cell r="I53">
            <v>3849.16</v>
          </cell>
          <cell r="N53">
            <v>19</v>
          </cell>
          <cell r="O53">
            <v>4</v>
          </cell>
        </row>
        <row r="54">
          <cell r="I54">
            <v>21000</v>
          </cell>
          <cell r="N54">
            <v>19</v>
          </cell>
          <cell r="O54">
            <v>4</v>
          </cell>
        </row>
        <row r="55">
          <cell r="D55" t="str">
            <v>9</v>
          </cell>
          <cell r="E55" t="str">
            <v>Ostatní konstrukce a práce-bourání</v>
          </cell>
          <cell r="I55">
            <v>26392.68</v>
          </cell>
          <cell r="K55">
            <v>0</v>
          </cell>
          <cell r="M55">
            <v>0</v>
          </cell>
        </row>
        <row r="56">
          <cell r="I56">
            <v>3513.64</v>
          </cell>
          <cell r="N56">
            <v>19</v>
          </cell>
          <cell r="O56">
            <v>4</v>
          </cell>
        </row>
        <row r="57">
          <cell r="I57">
            <v>2407.03</v>
          </cell>
          <cell r="N57">
            <v>19</v>
          </cell>
          <cell r="O57">
            <v>4</v>
          </cell>
        </row>
        <row r="58">
          <cell r="I58">
            <v>5029.76</v>
          </cell>
          <cell r="N58">
            <v>19</v>
          </cell>
          <cell r="O58">
            <v>4</v>
          </cell>
        </row>
        <row r="59">
          <cell r="I59">
            <v>15442.25</v>
          </cell>
          <cell r="N59">
            <v>19</v>
          </cell>
          <cell r="O59">
            <v>4</v>
          </cell>
        </row>
        <row r="60">
          <cell r="D60" t="str">
            <v>99</v>
          </cell>
          <cell r="E60" t="str">
            <v>Přesun hmot</v>
          </cell>
          <cell r="I60">
            <v>15674.39</v>
          </cell>
          <cell r="K60">
            <v>0</v>
          </cell>
          <cell r="M60">
            <v>0</v>
          </cell>
        </row>
        <row r="61">
          <cell r="I61">
            <v>15674.39</v>
          </cell>
          <cell r="N61">
            <v>19</v>
          </cell>
          <cell r="O61">
            <v>4</v>
          </cell>
        </row>
        <row r="62">
          <cell r="D62" t="str">
            <v>M</v>
          </cell>
          <cell r="E62" t="str">
            <v>Práce a dodávky M</v>
          </cell>
          <cell r="I62">
            <v>11756.45</v>
          </cell>
          <cell r="K62">
            <v>0</v>
          </cell>
          <cell r="M62">
            <v>0</v>
          </cell>
        </row>
        <row r="63">
          <cell r="D63" t="str">
            <v>23-M</v>
          </cell>
          <cell r="E63" t="str">
            <v>Montáže potrubí</v>
          </cell>
          <cell r="I63">
            <v>11756.45</v>
          </cell>
          <cell r="K63">
            <v>0</v>
          </cell>
          <cell r="M63">
            <v>0</v>
          </cell>
        </row>
        <row r="64">
          <cell r="I64">
            <v>10440</v>
          </cell>
          <cell r="N64">
            <v>19</v>
          </cell>
          <cell r="O64">
            <v>64</v>
          </cell>
        </row>
        <row r="65">
          <cell r="I65">
            <v>1316.45</v>
          </cell>
          <cell r="N65">
            <v>19</v>
          </cell>
          <cell r="O65">
            <v>64</v>
          </cell>
        </row>
        <row r="66">
          <cell r="I66">
            <v>530635.64</v>
          </cell>
          <cell r="K66">
            <v>99.20523618</v>
          </cell>
          <cell r="M66">
            <v>49.0232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D1 B DN 1200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702416.24</v>
          </cell>
          <cell r="K14">
            <v>99.61512478</v>
          </cell>
          <cell r="M14">
            <v>41.04144</v>
          </cell>
        </row>
        <row r="15">
          <cell r="D15" t="str">
            <v>1</v>
          </cell>
          <cell r="E15" t="str">
            <v>Zemní práce</v>
          </cell>
          <cell r="I15">
            <v>147906.58</v>
          </cell>
          <cell r="K15">
            <v>53.75453056</v>
          </cell>
          <cell r="M15">
            <v>41.04144</v>
          </cell>
        </row>
        <row r="16">
          <cell r="I16">
            <v>992.97</v>
          </cell>
          <cell r="N16">
            <v>19</v>
          </cell>
          <cell r="O16">
            <v>4</v>
          </cell>
        </row>
        <row r="17">
          <cell r="I17">
            <v>2010.01</v>
          </cell>
          <cell r="N17">
            <v>19</v>
          </cell>
          <cell r="O17">
            <v>4</v>
          </cell>
        </row>
        <row r="18">
          <cell r="I18">
            <v>1203.6</v>
          </cell>
          <cell r="N18">
            <v>19</v>
          </cell>
          <cell r="O18">
            <v>4</v>
          </cell>
        </row>
        <row r="19">
          <cell r="I19">
            <v>11308.8</v>
          </cell>
          <cell r="N19">
            <v>19</v>
          </cell>
          <cell r="O19">
            <v>4</v>
          </cell>
        </row>
        <row r="20">
          <cell r="I20">
            <v>13248</v>
          </cell>
          <cell r="N20">
            <v>19</v>
          </cell>
          <cell r="O20">
            <v>4</v>
          </cell>
        </row>
        <row r="21">
          <cell r="I21">
            <v>307.2</v>
          </cell>
          <cell r="N21">
            <v>19</v>
          </cell>
          <cell r="O21">
            <v>4</v>
          </cell>
        </row>
        <row r="22">
          <cell r="I22">
            <v>1617</v>
          </cell>
          <cell r="N22">
            <v>19</v>
          </cell>
          <cell r="O22">
            <v>4</v>
          </cell>
        </row>
        <row r="23">
          <cell r="I23">
            <v>234.74</v>
          </cell>
          <cell r="N23">
            <v>19</v>
          </cell>
          <cell r="O23">
            <v>4</v>
          </cell>
        </row>
        <row r="24">
          <cell r="I24">
            <v>18074.6</v>
          </cell>
          <cell r="N24">
            <v>19</v>
          </cell>
          <cell r="O24">
            <v>4</v>
          </cell>
        </row>
        <row r="25">
          <cell r="I25">
            <v>2313.55</v>
          </cell>
          <cell r="N25">
            <v>19</v>
          </cell>
          <cell r="O25">
            <v>4</v>
          </cell>
        </row>
        <row r="26">
          <cell r="I26">
            <v>13860.79</v>
          </cell>
          <cell r="N26">
            <v>19</v>
          </cell>
          <cell r="O26">
            <v>4</v>
          </cell>
        </row>
        <row r="27">
          <cell r="I27">
            <v>3896.01</v>
          </cell>
          <cell r="N27">
            <v>19</v>
          </cell>
          <cell r="O27">
            <v>4</v>
          </cell>
        </row>
        <row r="28">
          <cell r="I28">
            <v>6958.7</v>
          </cell>
          <cell r="N28">
            <v>19</v>
          </cell>
          <cell r="O28">
            <v>4</v>
          </cell>
        </row>
        <row r="29">
          <cell r="I29">
            <v>18978.33</v>
          </cell>
          <cell r="N29">
            <v>19</v>
          </cell>
          <cell r="O29">
            <v>4</v>
          </cell>
        </row>
        <row r="30">
          <cell r="I30">
            <v>27292.65</v>
          </cell>
          <cell r="N30">
            <v>19</v>
          </cell>
          <cell r="O30">
            <v>4</v>
          </cell>
        </row>
        <row r="31">
          <cell r="I31">
            <v>3679.75</v>
          </cell>
          <cell r="N31">
            <v>19</v>
          </cell>
          <cell r="O31">
            <v>4</v>
          </cell>
        </row>
        <row r="32">
          <cell r="I32">
            <v>19963.81</v>
          </cell>
          <cell r="N32">
            <v>19</v>
          </cell>
          <cell r="O32">
            <v>8</v>
          </cell>
        </row>
        <row r="33">
          <cell r="I33">
            <v>1358.53</v>
          </cell>
          <cell r="N33">
            <v>19</v>
          </cell>
          <cell r="O33">
            <v>4</v>
          </cell>
        </row>
        <row r="34">
          <cell r="I34">
            <v>557.93</v>
          </cell>
          <cell r="N34">
            <v>19</v>
          </cell>
          <cell r="O34">
            <v>4</v>
          </cell>
        </row>
        <row r="35">
          <cell r="I35">
            <v>49.61</v>
          </cell>
          <cell r="N35">
            <v>19</v>
          </cell>
          <cell r="O35">
            <v>8</v>
          </cell>
        </row>
        <row r="36">
          <cell r="D36" t="str">
            <v>2</v>
          </cell>
          <cell r="E36" t="str">
            <v>Zakládání</v>
          </cell>
          <cell r="I36">
            <v>3661.2</v>
          </cell>
          <cell r="K36">
            <v>2.840233</v>
          </cell>
          <cell r="M36">
            <v>0</v>
          </cell>
        </row>
        <row r="37">
          <cell r="I37">
            <v>2081.2</v>
          </cell>
          <cell r="N37">
            <v>19</v>
          </cell>
          <cell r="O37">
            <v>4</v>
          </cell>
        </row>
        <row r="38">
          <cell r="I38">
            <v>1580</v>
          </cell>
          <cell r="N38">
            <v>19</v>
          </cell>
          <cell r="O38">
            <v>4</v>
          </cell>
        </row>
        <row r="39">
          <cell r="D39" t="str">
            <v>4</v>
          </cell>
          <cell r="E39" t="str">
            <v>Vodorovné konstrukce</v>
          </cell>
          <cell r="I39">
            <v>51392.62</v>
          </cell>
          <cell r="K39">
            <v>0.11775282000000001</v>
          </cell>
          <cell r="M39">
            <v>0</v>
          </cell>
        </row>
        <row r="40">
          <cell r="I40">
            <v>10611.53</v>
          </cell>
          <cell r="N40">
            <v>19</v>
          </cell>
          <cell r="O40">
            <v>4</v>
          </cell>
        </row>
        <row r="41">
          <cell r="I41">
            <v>35617.8</v>
          </cell>
          <cell r="N41">
            <v>19</v>
          </cell>
          <cell r="O41">
            <v>4</v>
          </cell>
        </row>
        <row r="42">
          <cell r="I42">
            <v>5163.29</v>
          </cell>
          <cell r="N42">
            <v>19</v>
          </cell>
          <cell r="O42">
            <v>4</v>
          </cell>
        </row>
        <row r="43">
          <cell r="D43" t="str">
            <v>5</v>
          </cell>
          <cell r="E43" t="str">
            <v>Komunikace</v>
          </cell>
          <cell r="I43">
            <v>41968.380000000005</v>
          </cell>
          <cell r="K43">
            <v>0.05832</v>
          </cell>
          <cell r="M43">
            <v>0</v>
          </cell>
        </row>
        <row r="44">
          <cell r="I44">
            <v>5025.03</v>
          </cell>
          <cell r="N44">
            <v>19</v>
          </cell>
          <cell r="O44">
            <v>4</v>
          </cell>
        </row>
        <row r="45">
          <cell r="I45">
            <v>12427.17</v>
          </cell>
          <cell r="N45">
            <v>19</v>
          </cell>
          <cell r="O45">
            <v>4</v>
          </cell>
        </row>
        <row r="46">
          <cell r="I46">
            <v>12813.6</v>
          </cell>
          <cell r="N46">
            <v>19</v>
          </cell>
          <cell r="O46">
            <v>4</v>
          </cell>
        </row>
        <row r="47">
          <cell r="I47">
            <v>10716</v>
          </cell>
          <cell r="N47">
            <v>19</v>
          </cell>
          <cell r="O47">
            <v>4</v>
          </cell>
        </row>
        <row r="48">
          <cell r="I48">
            <v>986.58</v>
          </cell>
          <cell r="N48">
            <v>19</v>
          </cell>
          <cell r="O48">
            <v>4</v>
          </cell>
        </row>
        <row r="49">
          <cell r="D49" t="str">
            <v>8</v>
          </cell>
          <cell r="E49" t="str">
            <v>Trubní vedení</v>
          </cell>
          <cell r="I49">
            <v>420255.54</v>
          </cell>
          <cell r="K49">
            <v>42.8442884</v>
          </cell>
          <cell r="M49">
            <v>0</v>
          </cell>
        </row>
        <row r="50">
          <cell r="I50">
            <v>1270.5</v>
          </cell>
          <cell r="N50">
            <v>19</v>
          </cell>
          <cell r="O50">
            <v>4</v>
          </cell>
        </row>
        <row r="51">
          <cell r="I51">
            <v>11240.9</v>
          </cell>
          <cell r="N51">
            <v>19</v>
          </cell>
          <cell r="O51">
            <v>4</v>
          </cell>
        </row>
        <row r="52">
          <cell r="I52">
            <v>340305.97</v>
          </cell>
          <cell r="N52">
            <v>19</v>
          </cell>
          <cell r="O52">
            <v>8</v>
          </cell>
        </row>
        <row r="53">
          <cell r="I53">
            <v>439</v>
          </cell>
          <cell r="N53">
            <v>19</v>
          </cell>
          <cell r="O53">
            <v>4</v>
          </cell>
        </row>
        <row r="54">
          <cell r="I54">
            <v>1504.23</v>
          </cell>
          <cell r="N54">
            <v>19</v>
          </cell>
          <cell r="O54">
            <v>4</v>
          </cell>
        </row>
        <row r="55">
          <cell r="I55">
            <v>6783.94</v>
          </cell>
          <cell r="N55">
            <v>19</v>
          </cell>
          <cell r="O55">
            <v>8</v>
          </cell>
        </row>
        <row r="56">
          <cell r="I56">
            <v>42000</v>
          </cell>
          <cell r="N56">
            <v>19</v>
          </cell>
          <cell r="O56">
            <v>4</v>
          </cell>
        </row>
        <row r="57">
          <cell r="I57">
            <v>641</v>
          </cell>
          <cell r="N57">
            <v>19</v>
          </cell>
          <cell r="O57">
            <v>4</v>
          </cell>
        </row>
        <row r="58">
          <cell r="I58">
            <v>3990</v>
          </cell>
          <cell r="N58">
            <v>19</v>
          </cell>
          <cell r="O58">
            <v>8</v>
          </cell>
        </row>
        <row r="59">
          <cell r="I59">
            <v>1580</v>
          </cell>
          <cell r="N59">
            <v>19</v>
          </cell>
          <cell r="O59">
            <v>4</v>
          </cell>
        </row>
        <row r="60">
          <cell r="I60">
            <v>10500</v>
          </cell>
          <cell r="N60">
            <v>19</v>
          </cell>
          <cell r="O60">
            <v>4</v>
          </cell>
        </row>
        <row r="61">
          <cell r="D61" t="str">
            <v>9</v>
          </cell>
          <cell r="E61" t="str">
            <v>Ostatní konstrukce a práce-bourání</v>
          </cell>
          <cell r="I61">
            <v>21492.75</v>
          </cell>
          <cell r="K61">
            <v>0</v>
          </cell>
          <cell r="M61">
            <v>0</v>
          </cell>
        </row>
        <row r="62">
          <cell r="I62">
            <v>2338.91</v>
          </cell>
          <cell r="N62">
            <v>19</v>
          </cell>
          <cell r="O62">
            <v>4</v>
          </cell>
        </row>
        <row r="63">
          <cell r="I63">
            <v>2015.11</v>
          </cell>
          <cell r="N63">
            <v>19</v>
          </cell>
          <cell r="O63">
            <v>4</v>
          </cell>
        </row>
        <row r="64">
          <cell r="I64">
            <v>4210.81</v>
          </cell>
          <cell r="N64">
            <v>19</v>
          </cell>
          <cell r="O64">
            <v>4</v>
          </cell>
        </row>
        <row r="65">
          <cell r="I65">
            <v>12927.92</v>
          </cell>
          <cell r="N65">
            <v>19</v>
          </cell>
          <cell r="O65">
            <v>4</v>
          </cell>
        </row>
        <row r="66">
          <cell r="D66" t="str">
            <v>99</v>
          </cell>
          <cell r="E66" t="str">
            <v>Přesun hmot</v>
          </cell>
          <cell r="I66">
            <v>15739.17</v>
          </cell>
          <cell r="K66">
            <v>0</v>
          </cell>
          <cell r="M66">
            <v>0</v>
          </cell>
        </row>
        <row r="67">
          <cell r="I67">
            <v>15739.17</v>
          </cell>
          <cell r="N67">
            <v>19</v>
          </cell>
          <cell r="O67">
            <v>4</v>
          </cell>
        </row>
        <row r="68">
          <cell r="D68" t="str">
            <v>M</v>
          </cell>
          <cell r="E68" t="str">
            <v>Práce a dodávky M</v>
          </cell>
          <cell r="I68">
            <v>13118.650000000001</v>
          </cell>
          <cell r="K68">
            <v>0</v>
          </cell>
          <cell r="M68">
            <v>0</v>
          </cell>
        </row>
        <row r="69">
          <cell r="D69" t="str">
            <v>23-M</v>
          </cell>
          <cell r="E69" t="str">
            <v>Montáže potrubí</v>
          </cell>
          <cell r="I69">
            <v>13118.650000000001</v>
          </cell>
          <cell r="K69">
            <v>0</v>
          </cell>
          <cell r="M69">
            <v>0</v>
          </cell>
        </row>
        <row r="70">
          <cell r="I70">
            <v>3010</v>
          </cell>
          <cell r="N70">
            <v>19</v>
          </cell>
          <cell r="O70">
            <v>64</v>
          </cell>
        </row>
        <row r="71">
          <cell r="I71">
            <v>7980</v>
          </cell>
          <cell r="N71">
            <v>19</v>
          </cell>
          <cell r="O71">
            <v>64</v>
          </cell>
        </row>
        <row r="72">
          <cell r="I72">
            <v>197.11</v>
          </cell>
          <cell r="N72">
            <v>19</v>
          </cell>
          <cell r="O72">
            <v>64</v>
          </cell>
        </row>
        <row r="73">
          <cell r="I73">
            <v>1931.54</v>
          </cell>
          <cell r="N73">
            <v>19</v>
          </cell>
          <cell r="O73">
            <v>64</v>
          </cell>
        </row>
        <row r="74">
          <cell r="I74">
            <v>715534.89</v>
          </cell>
          <cell r="K74">
            <v>99.61512478</v>
          </cell>
          <cell r="M74">
            <v>41.04144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D1 SKL DN 1200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849579.17</v>
          </cell>
          <cell r="K14">
            <v>99.34618292</v>
          </cell>
          <cell r="M14">
            <v>119.95184</v>
          </cell>
        </row>
        <row r="15">
          <cell r="D15" t="str">
            <v>1</v>
          </cell>
          <cell r="E15" t="str">
            <v>Zemní práce</v>
          </cell>
          <cell r="I15">
            <v>254700.06999999998</v>
          </cell>
          <cell r="K15">
            <v>92.10111004000001</v>
          </cell>
          <cell r="M15">
            <v>73.97184</v>
          </cell>
        </row>
        <row r="16">
          <cell r="I16">
            <v>1838.76</v>
          </cell>
          <cell r="N16">
            <v>19</v>
          </cell>
          <cell r="O16">
            <v>4</v>
          </cell>
        </row>
        <row r="17">
          <cell r="I17">
            <v>3722.1</v>
          </cell>
          <cell r="N17">
            <v>19</v>
          </cell>
          <cell r="O17">
            <v>4</v>
          </cell>
        </row>
        <row r="18">
          <cell r="I18">
            <v>2228.8</v>
          </cell>
          <cell r="N18">
            <v>19</v>
          </cell>
          <cell r="O18">
            <v>4</v>
          </cell>
        </row>
        <row r="19">
          <cell r="I19">
            <v>18976.96</v>
          </cell>
          <cell r="N19">
            <v>19</v>
          </cell>
          <cell r="O19">
            <v>4</v>
          </cell>
        </row>
        <row r="20">
          <cell r="I20">
            <v>23184</v>
          </cell>
          <cell r="N20">
            <v>19</v>
          </cell>
          <cell r="O20">
            <v>4</v>
          </cell>
        </row>
        <row r="21">
          <cell r="I21">
            <v>537.6</v>
          </cell>
          <cell r="N21">
            <v>19</v>
          </cell>
          <cell r="O21">
            <v>4</v>
          </cell>
        </row>
        <row r="22">
          <cell r="I22">
            <v>1617</v>
          </cell>
          <cell r="N22">
            <v>19</v>
          </cell>
          <cell r="O22">
            <v>4</v>
          </cell>
        </row>
        <row r="23">
          <cell r="I23">
            <v>43.47</v>
          </cell>
          <cell r="N23">
            <v>19</v>
          </cell>
          <cell r="O23">
            <v>4</v>
          </cell>
        </row>
        <row r="24">
          <cell r="I24">
            <v>29725.6</v>
          </cell>
          <cell r="N24">
            <v>19</v>
          </cell>
          <cell r="O24">
            <v>4</v>
          </cell>
        </row>
        <row r="25">
          <cell r="I25">
            <v>3804.88</v>
          </cell>
          <cell r="N25">
            <v>19</v>
          </cell>
          <cell r="O25">
            <v>4</v>
          </cell>
        </row>
        <row r="26">
          <cell r="I26">
            <v>26645.33</v>
          </cell>
          <cell r="N26">
            <v>19</v>
          </cell>
          <cell r="O26">
            <v>4</v>
          </cell>
        </row>
        <row r="27">
          <cell r="I27">
            <v>7489.5</v>
          </cell>
          <cell r="N27">
            <v>19</v>
          </cell>
          <cell r="O27">
            <v>4</v>
          </cell>
        </row>
        <row r="28">
          <cell r="I28">
            <v>11444.3</v>
          </cell>
          <cell r="N28">
            <v>19</v>
          </cell>
          <cell r="O28">
            <v>4</v>
          </cell>
        </row>
        <row r="29">
          <cell r="I29">
            <v>31211.88</v>
          </cell>
          <cell r="N29">
            <v>19</v>
          </cell>
          <cell r="O29">
            <v>4</v>
          </cell>
        </row>
        <row r="30">
          <cell r="I30">
            <v>44885.66</v>
          </cell>
          <cell r="N30">
            <v>19</v>
          </cell>
          <cell r="O30">
            <v>4</v>
          </cell>
        </row>
        <row r="31">
          <cell r="I31">
            <v>931.31</v>
          </cell>
          <cell r="N31">
            <v>19</v>
          </cell>
          <cell r="O31">
            <v>4</v>
          </cell>
        </row>
        <row r="32">
          <cell r="I32">
            <v>5052.56</v>
          </cell>
          <cell r="N32">
            <v>19</v>
          </cell>
          <cell r="O32">
            <v>8</v>
          </cell>
        </row>
        <row r="33">
          <cell r="I33">
            <v>15279.77</v>
          </cell>
          <cell r="N33">
            <v>19</v>
          </cell>
          <cell r="O33">
            <v>4</v>
          </cell>
        </row>
        <row r="34">
          <cell r="I34">
            <v>25716.5</v>
          </cell>
          <cell r="N34">
            <v>19</v>
          </cell>
          <cell r="O34">
            <v>8</v>
          </cell>
        </row>
        <row r="35">
          <cell r="I35">
            <v>251.58</v>
          </cell>
          <cell r="N35">
            <v>19</v>
          </cell>
          <cell r="O35">
            <v>4</v>
          </cell>
        </row>
        <row r="36">
          <cell r="I36">
            <v>103.32</v>
          </cell>
          <cell r="N36">
            <v>19</v>
          </cell>
          <cell r="O36">
            <v>4</v>
          </cell>
        </row>
        <row r="37">
          <cell r="I37">
            <v>9.19</v>
          </cell>
          <cell r="N37">
            <v>19</v>
          </cell>
          <cell r="O37">
            <v>8</v>
          </cell>
        </row>
        <row r="38">
          <cell r="D38" t="str">
            <v>2</v>
          </cell>
          <cell r="E38" t="str">
            <v>Zakládání</v>
          </cell>
          <cell r="I38">
            <v>5174.8</v>
          </cell>
          <cell r="K38">
            <v>4.905856999999999</v>
          </cell>
          <cell r="M38">
            <v>0</v>
          </cell>
        </row>
        <row r="39">
          <cell r="I39">
            <v>3594.8</v>
          </cell>
          <cell r="N39">
            <v>19</v>
          </cell>
          <cell r="O39">
            <v>4</v>
          </cell>
        </row>
        <row r="40">
          <cell r="I40">
            <v>1580</v>
          </cell>
          <cell r="N40">
            <v>19</v>
          </cell>
          <cell r="O40">
            <v>4</v>
          </cell>
        </row>
        <row r="41">
          <cell r="D41" t="str">
            <v>3</v>
          </cell>
          <cell r="E41" t="str">
            <v>Svislé a kompletní konstrukce</v>
          </cell>
          <cell r="I41">
            <v>64790</v>
          </cell>
          <cell r="K41">
            <v>0</v>
          </cell>
          <cell r="M41">
            <v>45.980000000000004</v>
          </cell>
        </row>
        <row r="42">
          <cell r="I42">
            <v>64790</v>
          </cell>
          <cell r="N42">
            <v>19</v>
          </cell>
          <cell r="O42">
            <v>4</v>
          </cell>
        </row>
        <row r="43">
          <cell r="D43" t="str">
            <v>4</v>
          </cell>
          <cell r="E43" t="str">
            <v>Vodorovné konstrukce</v>
          </cell>
          <cell r="I43">
            <v>107859.37000000001</v>
          </cell>
          <cell r="K43">
            <v>0.22881060000000003</v>
          </cell>
          <cell r="M43">
            <v>0</v>
          </cell>
        </row>
        <row r="44">
          <cell r="I44">
            <v>359.8</v>
          </cell>
          <cell r="N44">
            <v>19</v>
          </cell>
          <cell r="O44">
            <v>4</v>
          </cell>
        </row>
        <row r="45">
          <cell r="I45">
            <v>96718.95</v>
          </cell>
          <cell r="N45">
            <v>19</v>
          </cell>
          <cell r="O45">
            <v>4</v>
          </cell>
        </row>
        <row r="46">
          <cell r="I46">
            <v>747.6</v>
          </cell>
          <cell r="N46">
            <v>19</v>
          </cell>
          <cell r="O46">
            <v>4</v>
          </cell>
        </row>
        <row r="47">
          <cell r="I47">
            <v>10033.02</v>
          </cell>
          <cell r="N47">
            <v>19</v>
          </cell>
          <cell r="O47">
            <v>4</v>
          </cell>
        </row>
        <row r="48">
          <cell r="D48" t="str">
            <v>5</v>
          </cell>
          <cell r="E48" t="str">
            <v>Komunikace</v>
          </cell>
          <cell r="I48">
            <v>74335.36</v>
          </cell>
          <cell r="K48">
            <v>0.14976</v>
          </cell>
          <cell r="M48">
            <v>0</v>
          </cell>
        </row>
        <row r="49">
          <cell r="I49">
            <v>9305.24</v>
          </cell>
          <cell r="N49">
            <v>19</v>
          </cell>
          <cell r="O49">
            <v>4</v>
          </cell>
        </row>
        <row r="50">
          <cell r="I50">
            <v>23012.36</v>
          </cell>
          <cell r="N50">
            <v>19</v>
          </cell>
          <cell r="O50">
            <v>4</v>
          </cell>
        </row>
        <row r="51">
          <cell r="I51">
            <v>21502.12</v>
          </cell>
          <cell r="N51">
            <v>19</v>
          </cell>
          <cell r="O51">
            <v>4</v>
          </cell>
        </row>
        <row r="52">
          <cell r="I52">
            <v>17982.2</v>
          </cell>
          <cell r="N52">
            <v>19</v>
          </cell>
          <cell r="O52">
            <v>4</v>
          </cell>
        </row>
        <row r="53">
          <cell r="I53">
            <v>2533.44</v>
          </cell>
          <cell r="N53">
            <v>19</v>
          </cell>
          <cell r="O53">
            <v>4</v>
          </cell>
        </row>
        <row r="54">
          <cell r="D54" t="str">
            <v>8</v>
          </cell>
          <cell r="E54" t="str">
            <v>Trubní vedení</v>
          </cell>
          <cell r="I54">
            <v>289363.52</v>
          </cell>
          <cell r="K54">
            <v>1.9606452799999998</v>
          </cell>
          <cell r="M54">
            <v>0</v>
          </cell>
        </row>
        <row r="55">
          <cell r="I55">
            <v>2194.5</v>
          </cell>
          <cell r="N55">
            <v>19</v>
          </cell>
          <cell r="O55">
            <v>4</v>
          </cell>
        </row>
        <row r="56">
          <cell r="I56">
            <v>439</v>
          </cell>
          <cell r="N56">
            <v>19</v>
          </cell>
          <cell r="O56">
            <v>4</v>
          </cell>
        </row>
        <row r="57">
          <cell r="I57">
            <v>215.6</v>
          </cell>
          <cell r="N57">
            <v>19</v>
          </cell>
          <cell r="O57">
            <v>4</v>
          </cell>
        </row>
        <row r="58">
          <cell r="I58">
            <v>759.52</v>
          </cell>
          <cell r="N58">
            <v>19</v>
          </cell>
          <cell r="O58">
            <v>8</v>
          </cell>
        </row>
        <row r="59">
          <cell r="I59">
            <v>9718.5</v>
          </cell>
          <cell r="N59">
            <v>19</v>
          </cell>
          <cell r="O59">
            <v>4</v>
          </cell>
        </row>
        <row r="60">
          <cell r="I60">
            <v>243589.5</v>
          </cell>
          <cell r="N60">
            <v>19</v>
          </cell>
          <cell r="O60">
            <v>8</v>
          </cell>
        </row>
        <row r="61">
          <cell r="I61">
            <v>1785.62</v>
          </cell>
          <cell r="N61">
            <v>19</v>
          </cell>
          <cell r="O61">
            <v>4</v>
          </cell>
        </row>
        <row r="62">
          <cell r="I62">
            <v>231.28</v>
          </cell>
          <cell r="N62">
            <v>19</v>
          </cell>
          <cell r="O62">
            <v>4</v>
          </cell>
        </row>
        <row r="63">
          <cell r="I63">
            <v>21500</v>
          </cell>
          <cell r="N63">
            <v>19</v>
          </cell>
          <cell r="O63">
            <v>4</v>
          </cell>
        </row>
        <row r="64">
          <cell r="I64">
            <v>8930</v>
          </cell>
          <cell r="N64">
            <v>19</v>
          </cell>
          <cell r="O64">
            <v>4</v>
          </cell>
        </row>
        <row r="65">
          <cell r="D65" t="str">
            <v>9</v>
          </cell>
          <cell r="E65" t="str">
            <v>Ostatní konstrukce a práce-bourání</v>
          </cell>
          <cell r="I65">
            <v>37659.380000000005</v>
          </cell>
          <cell r="K65">
            <v>0</v>
          </cell>
          <cell r="M65">
            <v>0</v>
          </cell>
        </row>
        <row r="66">
          <cell r="I66">
            <v>3136.64</v>
          </cell>
          <cell r="N66">
            <v>19</v>
          </cell>
          <cell r="O66">
            <v>4</v>
          </cell>
        </row>
        <row r="67">
          <cell r="I67">
            <v>3632.03</v>
          </cell>
          <cell r="N67">
            <v>19</v>
          </cell>
          <cell r="O67">
            <v>4</v>
          </cell>
        </row>
        <row r="68">
          <cell r="I68">
            <v>7589.53</v>
          </cell>
          <cell r="N68">
            <v>19</v>
          </cell>
          <cell r="O68">
            <v>4</v>
          </cell>
        </row>
        <row r="69">
          <cell r="I69">
            <v>23301.18</v>
          </cell>
          <cell r="N69">
            <v>19</v>
          </cell>
          <cell r="O69">
            <v>4</v>
          </cell>
        </row>
        <row r="70">
          <cell r="D70" t="str">
            <v>99</v>
          </cell>
          <cell r="E70" t="str">
            <v>Přesun hmot</v>
          </cell>
          <cell r="I70">
            <v>15696.67</v>
          </cell>
          <cell r="K70">
            <v>0</v>
          </cell>
          <cell r="M70">
            <v>0</v>
          </cell>
        </row>
        <row r="71">
          <cell r="I71">
            <v>15696.67</v>
          </cell>
          <cell r="N71">
            <v>19</v>
          </cell>
          <cell r="O71">
            <v>4</v>
          </cell>
        </row>
        <row r="72">
          <cell r="D72" t="str">
            <v>M</v>
          </cell>
          <cell r="E72" t="str">
            <v>Práce a dodávky M</v>
          </cell>
          <cell r="I72">
            <v>12853.9</v>
          </cell>
          <cell r="K72">
            <v>0</v>
          </cell>
          <cell r="M72">
            <v>0</v>
          </cell>
        </row>
        <row r="73">
          <cell r="D73" t="str">
            <v>23-M</v>
          </cell>
          <cell r="E73" t="str">
            <v>Montáže potrubí</v>
          </cell>
          <cell r="I73">
            <v>12853.9</v>
          </cell>
          <cell r="K73">
            <v>0</v>
          </cell>
          <cell r="M73">
            <v>0</v>
          </cell>
        </row>
        <row r="74">
          <cell r="I74">
            <v>3010</v>
          </cell>
          <cell r="N74">
            <v>19</v>
          </cell>
          <cell r="O74">
            <v>64</v>
          </cell>
        </row>
        <row r="75">
          <cell r="I75">
            <v>7980</v>
          </cell>
          <cell r="N75">
            <v>19</v>
          </cell>
          <cell r="O75">
            <v>64</v>
          </cell>
        </row>
        <row r="76">
          <cell r="I76">
            <v>37.24</v>
          </cell>
          <cell r="N76">
            <v>19</v>
          </cell>
          <cell r="O76">
            <v>64</v>
          </cell>
        </row>
        <row r="77">
          <cell r="I77">
            <v>1826.66</v>
          </cell>
          <cell r="N77">
            <v>19</v>
          </cell>
          <cell r="O77">
            <v>64</v>
          </cell>
        </row>
        <row r="78">
          <cell r="I78">
            <v>862433.0700000001</v>
          </cell>
          <cell r="K78">
            <v>99.34618292</v>
          </cell>
          <cell r="M78">
            <v>119.95184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01 Stoka RA</v>
          </cell>
        </row>
        <row r="9">
          <cell r="E9" t="str">
            <v>SO 01 Stoka RA - monitoring objektů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HSV</v>
          </cell>
          <cell r="I14">
            <v>1260000</v>
          </cell>
          <cell r="K14">
            <v>0</v>
          </cell>
          <cell r="M14">
            <v>0</v>
          </cell>
        </row>
        <row r="15">
          <cell r="D15" t="str">
            <v>001</v>
          </cell>
          <cell r="E15" t="str">
            <v>Monitoring objektů</v>
          </cell>
          <cell r="I15">
            <v>1260000</v>
          </cell>
          <cell r="K15">
            <v>0</v>
          </cell>
          <cell r="M15">
            <v>0</v>
          </cell>
        </row>
        <row r="16">
          <cell r="I16">
            <v>1260000</v>
          </cell>
          <cell r="N16">
            <v>19</v>
          </cell>
          <cell r="O16">
            <v>4</v>
          </cell>
        </row>
        <row r="17">
          <cell r="I17">
            <v>1260000</v>
          </cell>
          <cell r="K17">
            <v>0</v>
          </cell>
          <cell r="M1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Propojení kanalizace Nová Bělá - Hrabová</v>
          </cell>
          <cell r="P5" t="str">
            <v> </v>
          </cell>
        </row>
        <row r="7">
          <cell r="E7" t="str">
            <v>SO 03 Odlehčovací komora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2131000.0399999996</v>
          </cell>
          <cell r="K14">
            <v>341.87088925000006</v>
          </cell>
          <cell r="M14">
            <v>0</v>
          </cell>
        </row>
        <row r="15">
          <cell r="D15" t="str">
            <v>1</v>
          </cell>
          <cell r="E15" t="str">
            <v>Zemní práce</v>
          </cell>
          <cell r="I15">
            <v>1141659.95</v>
          </cell>
          <cell r="K15">
            <v>198.01047880000002</v>
          </cell>
          <cell r="M15">
            <v>0</v>
          </cell>
        </row>
        <row r="16">
          <cell r="I16">
            <v>99360</v>
          </cell>
          <cell r="N16">
            <v>19</v>
          </cell>
          <cell r="O16">
            <v>4</v>
          </cell>
        </row>
        <row r="17">
          <cell r="I17">
            <v>2304</v>
          </cell>
          <cell r="N17">
            <v>19</v>
          </cell>
          <cell r="O17">
            <v>4</v>
          </cell>
        </row>
        <row r="18">
          <cell r="I18">
            <v>514.33</v>
          </cell>
          <cell r="N18">
            <v>19</v>
          </cell>
          <cell r="O18">
            <v>4</v>
          </cell>
        </row>
        <row r="19">
          <cell r="I19">
            <v>100789.13</v>
          </cell>
          <cell r="N19">
            <v>19</v>
          </cell>
          <cell r="O19">
            <v>4</v>
          </cell>
        </row>
        <row r="20">
          <cell r="I20">
            <v>10124.83</v>
          </cell>
          <cell r="N20">
            <v>19</v>
          </cell>
          <cell r="O20">
            <v>4</v>
          </cell>
        </row>
        <row r="21">
          <cell r="I21">
            <v>683142.72</v>
          </cell>
          <cell r="N21">
            <v>19</v>
          </cell>
          <cell r="O21">
            <v>4</v>
          </cell>
        </row>
        <row r="22">
          <cell r="I22">
            <v>7714.14</v>
          </cell>
          <cell r="N22">
            <v>19</v>
          </cell>
          <cell r="O22">
            <v>4</v>
          </cell>
        </row>
        <row r="23">
          <cell r="I23">
            <v>48213.48</v>
          </cell>
          <cell r="N23">
            <v>19</v>
          </cell>
          <cell r="O23">
            <v>4</v>
          </cell>
        </row>
        <row r="24">
          <cell r="I24">
            <v>69335.58</v>
          </cell>
          <cell r="N24">
            <v>19</v>
          </cell>
          <cell r="O24">
            <v>4</v>
          </cell>
        </row>
        <row r="25">
          <cell r="I25">
            <v>26287.83</v>
          </cell>
          <cell r="N25">
            <v>19</v>
          </cell>
          <cell r="O25">
            <v>4</v>
          </cell>
        </row>
        <row r="26">
          <cell r="I26">
            <v>35.4</v>
          </cell>
          <cell r="N26">
            <v>19</v>
          </cell>
          <cell r="O26">
            <v>4</v>
          </cell>
        </row>
        <row r="27">
          <cell r="I27">
            <v>104.25</v>
          </cell>
          <cell r="N27">
            <v>19</v>
          </cell>
          <cell r="O27">
            <v>4</v>
          </cell>
        </row>
        <row r="28">
          <cell r="I28">
            <v>13582.48</v>
          </cell>
          <cell r="N28">
            <v>19</v>
          </cell>
          <cell r="O28">
            <v>4</v>
          </cell>
        </row>
        <row r="29">
          <cell r="I29">
            <v>73689.88</v>
          </cell>
          <cell r="N29">
            <v>19</v>
          </cell>
          <cell r="O29">
            <v>8</v>
          </cell>
        </row>
        <row r="30">
          <cell r="I30">
            <v>4465.07</v>
          </cell>
          <cell r="N30">
            <v>19</v>
          </cell>
          <cell r="O30">
            <v>4</v>
          </cell>
        </row>
        <row r="31">
          <cell r="I31">
            <v>1833.73</v>
          </cell>
          <cell r="N31">
            <v>19</v>
          </cell>
          <cell r="O31">
            <v>4</v>
          </cell>
        </row>
        <row r="32">
          <cell r="I32">
            <v>163.1</v>
          </cell>
          <cell r="N32">
            <v>19</v>
          </cell>
          <cell r="O32">
            <v>8</v>
          </cell>
        </row>
        <row r="33">
          <cell r="D33" t="str">
            <v>2</v>
          </cell>
          <cell r="E33" t="str">
            <v>Zakládání</v>
          </cell>
          <cell r="I33">
            <v>4568.71</v>
          </cell>
          <cell r="K33">
            <v>3.67247853</v>
          </cell>
          <cell r="M33">
            <v>0</v>
          </cell>
        </row>
        <row r="34">
          <cell r="I34">
            <v>4246.47</v>
          </cell>
          <cell r="N34">
            <v>19</v>
          </cell>
          <cell r="O34">
            <v>4</v>
          </cell>
        </row>
        <row r="35">
          <cell r="I35">
            <v>259.32</v>
          </cell>
          <cell r="N35">
            <v>19</v>
          </cell>
          <cell r="O35">
            <v>4</v>
          </cell>
        </row>
        <row r="36">
          <cell r="I36">
            <v>62.92</v>
          </cell>
          <cell r="N36">
            <v>19</v>
          </cell>
          <cell r="O36">
            <v>4</v>
          </cell>
        </row>
        <row r="37">
          <cell r="D37" t="str">
            <v>3</v>
          </cell>
          <cell r="E37" t="str">
            <v>Svislé a kompletní konstrukce</v>
          </cell>
          <cell r="I37">
            <v>517123.34</v>
          </cell>
          <cell r="K37">
            <v>112.37166272</v>
          </cell>
          <cell r="M37">
            <v>0</v>
          </cell>
        </row>
        <row r="38">
          <cell r="I38">
            <v>29439.54</v>
          </cell>
          <cell r="N38">
            <v>19</v>
          </cell>
          <cell r="O38">
            <v>4</v>
          </cell>
        </row>
        <row r="39">
          <cell r="I39">
            <v>150115.43</v>
          </cell>
          <cell r="N39">
            <v>19</v>
          </cell>
          <cell r="O39">
            <v>4</v>
          </cell>
        </row>
        <row r="40">
          <cell r="I40">
            <v>160401.32</v>
          </cell>
          <cell r="N40">
            <v>19</v>
          </cell>
          <cell r="O40">
            <v>4</v>
          </cell>
        </row>
        <row r="41">
          <cell r="I41">
            <v>35409.35</v>
          </cell>
          <cell r="N41">
            <v>19</v>
          </cell>
          <cell r="O41">
            <v>4</v>
          </cell>
        </row>
        <row r="42">
          <cell r="I42">
            <v>141757.7</v>
          </cell>
          <cell r="N42">
            <v>19</v>
          </cell>
          <cell r="O42">
            <v>4</v>
          </cell>
        </row>
        <row r="43">
          <cell r="D43" t="str">
            <v>6</v>
          </cell>
          <cell r="E43" t="str">
            <v>Úpravy povrchu, podlahy, osazení</v>
          </cell>
          <cell r="I43">
            <v>26548.21</v>
          </cell>
          <cell r="K43">
            <v>24.967107199999994</v>
          </cell>
          <cell r="M43">
            <v>0</v>
          </cell>
        </row>
        <row r="44">
          <cell r="I44">
            <v>13016.55</v>
          </cell>
          <cell r="N44">
            <v>19</v>
          </cell>
          <cell r="O44">
            <v>4</v>
          </cell>
        </row>
        <row r="45">
          <cell r="I45">
            <v>901.71</v>
          </cell>
          <cell r="N45">
            <v>19</v>
          </cell>
          <cell r="O45">
            <v>4</v>
          </cell>
        </row>
        <row r="46">
          <cell r="I46">
            <v>219.04</v>
          </cell>
          <cell r="N46">
            <v>19</v>
          </cell>
          <cell r="O46">
            <v>4</v>
          </cell>
        </row>
        <row r="47">
          <cell r="I47">
            <v>12410.91</v>
          </cell>
          <cell r="N47">
            <v>19</v>
          </cell>
          <cell r="O47">
            <v>4</v>
          </cell>
        </row>
        <row r="48">
          <cell r="D48" t="str">
            <v>8</v>
          </cell>
          <cell r="E48" t="str">
            <v>Trubní vedení</v>
          </cell>
          <cell r="I48">
            <v>163146.90000000002</v>
          </cell>
          <cell r="K48">
            <v>2.2998200000000004</v>
          </cell>
          <cell r="M48">
            <v>0</v>
          </cell>
        </row>
        <row r="49">
          <cell r="I49">
            <v>1330</v>
          </cell>
          <cell r="N49">
            <v>19</v>
          </cell>
          <cell r="O49">
            <v>4</v>
          </cell>
        </row>
        <row r="50">
          <cell r="I50">
            <v>90300</v>
          </cell>
          <cell r="N50">
            <v>19</v>
          </cell>
          <cell r="O50">
            <v>8</v>
          </cell>
        </row>
        <row r="51">
          <cell r="I51">
            <v>7200</v>
          </cell>
          <cell r="N51">
            <v>19</v>
          </cell>
          <cell r="O51">
            <v>4</v>
          </cell>
        </row>
        <row r="52">
          <cell r="I52">
            <v>1923</v>
          </cell>
          <cell r="N52">
            <v>19</v>
          </cell>
          <cell r="O52">
            <v>4</v>
          </cell>
        </row>
        <row r="53">
          <cell r="I53">
            <v>11970</v>
          </cell>
          <cell r="N53">
            <v>19</v>
          </cell>
          <cell r="O53">
            <v>8</v>
          </cell>
        </row>
        <row r="54">
          <cell r="I54">
            <v>440</v>
          </cell>
          <cell r="N54">
            <v>19</v>
          </cell>
          <cell r="O54">
            <v>4</v>
          </cell>
        </row>
        <row r="55">
          <cell r="I55">
            <v>614.3</v>
          </cell>
          <cell r="N55">
            <v>19</v>
          </cell>
          <cell r="O55">
            <v>8</v>
          </cell>
        </row>
        <row r="56">
          <cell r="I56">
            <v>3864</v>
          </cell>
          <cell r="N56">
            <v>19</v>
          </cell>
          <cell r="O56">
            <v>4</v>
          </cell>
        </row>
        <row r="57">
          <cell r="I57">
            <v>4793.6</v>
          </cell>
          <cell r="N57">
            <v>19</v>
          </cell>
          <cell r="O57">
            <v>8</v>
          </cell>
        </row>
        <row r="58">
          <cell r="I58">
            <v>1098</v>
          </cell>
          <cell r="N58">
            <v>19</v>
          </cell>
          <cell r="O58">
            <v>4</v>
          </cell>
        </row>
        <row r="59">
          <cell r="I59">
            <v>1764</v>
          </cell>
          <cell r="N59">
            <v>19</v>
          </cell>
          <cell r="O59">
            <v>8</v>
          </cell>
        </row>
        <row r="60">
          <cell r="I60">
            <v>1350</v>
          </cell>
          <cell r="N60">
            <v>19</v>
          </cell>
          <cell r="O60">
            <v>4</v>
          </cell>
        </row>
        <row r="61">
          <cell r="I61">
            <v>18600</v>
          </cell>
          <cell r="N61">
            <v>19</v>
          </cell>
          <cell r="O61">
            <v>4</v>
          </cell>
        </row>
        <row r="62">
          <cell r="I62">
            <v>17900</v>
          </cell>
          <cell r="N62">
            <v>19</v>
          </cell>
          <cell r="O62">
            <v>4</v>
          </cell>
        </row>
        <row r="63">
          <cell r="D63" t="str">
            <v>9</v>
          </cell>
          <cell r="E63" t="str">
            <v>Ostatní konstrukce a práce-bourání</v>
          </cell>
          <cell r="I63">
            <v>33515.16</v>
          </cell>
          <cell r="K63">
            <v>0.549342</v>
          </cell>
          <cell r="M63">
            <v>0</v>
          </cell>
        </row>
        <row r="64">
          <cell r="I64">
            <v>29634.83</v>
          </cell>
          <cell r="N64">
            <v>19</v>
          </cell>
          <cell r="O64">
            <v>4</v>
          </cell>
        </row>
        <row r="65">
          <cell r="I65">
            <v>3109.92</v>
          </cell>
          <cell r="N65">
            <v>19</v>
          </cell>
          <cell r="O65">
            <v>4</v>
          </cell>
        </row>
        <row r="66">
          <cell r="I66">
            <v>770.41</v>
          </cell>
          <cell r="N66">
            <v>19</v>
          </cell>
          <cell r="O66">
            <v>4</v>
          </cell>
        </row>
        <row r="67">
          <cell r="D67" t="str">
            <v>99</v>
          </cell>
          <cell r="E67" t="str">
            <v>Přesun hmot</v>
          </cell>
          <cell r="I67">
            <v>244437.77</v>
          </cell>
          <cell r="K67">
            <v>0</v>
          </cell>
          <cell r="M67">
            <v>0</v>
          </cell>
        </row>
        <row r="68">
          <cell r="I68">
            <v>244437.77</v>
          </cell>
          <cell r="N68">
            <v>19</v>
          </cell>
          <cell r="O68">
            <v>4</v>
          </cell>
        </row>
        <row r="69">
          <cell r="D69" t="str">
            <v>PSV</v>
          </cell>
          <cell r="E69" t="str">
            <v>Práce a dodávky PSV</v>
          </cell>
          <cell r="I69">
            <v>134724.22</v>
          </cell>
          <cell r="K69">
            <v>2.02930746</v>
          </cell>
          <cell r="M69">
            <v>0</v>
          </cell>
        </row>
        <row r="70">
          <cell r="D70" t="str">
            <v>711</v>
          </cell>
          <cell r="E70" t="str">
            <v>Izolace proti vodě, vlhkosti a plynům</v>
          </cell>
          <cell r="I70">
            <v>32665.750000000004</v>
          </cell>
          <cell r="K70">
            <v>0.67129575</v>
          </cell>
          <cell r="M70">
            <v>0</v>
          </cell>
        </row>
        <row r="71">
          <cell r="I71">
            <v>226.62</v>
          </cell>
          <cell r="N71">
            <v>19</v>
          </cell>
          <cell r="O71">
            <v>16</v>
          </cell>
        </row>
        <row r="72">
          <cell r="I72">
            <v>346.82</v>
          </cell>
          <cell r="N72">
            <v>19</v>
          </cell>
          <cell r="O72">
            <v>32</v>
          </cell>
        </row>
        <row r="73">
          <cell r="I73">
            <v>1213.53</v>
          </cell>
          <cell r="N73">
            <v>19</v>
          </cell>
          <cell r="O73">
            <v>16</v>
          </cell>
        </row>
        <row r="74">
          <cell r="I74">
            <v>886.31</v>
          </cell>
          <cell r="N74">
            <v>19</v>
          </cell>
          <cell r="O74">
            <v>32</v>
          </cell>
        </row>
        <row r="75">
          <cell r="I75">
            <v>4250.6</v>
          </cell>
          <cell r="N75">
            <v>19</v>
          </cell>
          <cell r="O75">
            <v>16</v>
          </cell>
        </row>
        <row r="76">
          <cell r="I76">
            <v>6509.16</v>
          </cell>
          <cell r="N76">
            <v>19</v>
          </cell>
          <cell r="O76">
            <v>32</v>
          </cell>
        </row>
        <row r="77">
          <cell r="I77">
            <v>4567.85</v>
          </cell>
          <cell r="N77">
            <v>19</v>
          </cell>
          <cell r="O77">
            <v>16</v>
          </cell>
        </row>
        <row r="78">
          <cell r="I78">
            <v>6439.2</v>
          </cell>
          <cell r="N78">
            <v>19</v>
          </cell>
          <cell r="O78">
            <v>32</v>
          </cell>
        </row>
        <row r="79">
          <cell r="I79">
            <v>1291.24</v>
          </cell>
          <cell r="N79">
            <v>19</v>
          </cell>
          <cell r="O79">
            <v>16</v>
          </cell>
        </row>
        <row r="80">
          <cell r="I80">
            <v>1508.79</v>
          </cell>
          <cell r="N80">
            <v>19</v>
          </cell>
          <cell r="O80">
            <v>32</v>
          </cell>
        </row>
        <row r="81">
          <cell r="I81">
            <v>2571.36</v>
          </cell>
          <cell r="N81">
            <v>19</v>
          </cell>
          <cell r="O81">
            <v>16</v>
          </cell>
        </row>
        <row r="82">
          <cell r="I82">
            <v>1840.61</v>
          </cell>
          <cell r="N82">
            <v>19</v>
          </cell>
          <cell r="O82">
            <v>32</v>
          </cell>
        </row>
        <row r="83">
          <cell r="I83">
            <v>1013.66</v>
          </cell>
          <cell r="N83">
            <v>19</v>
          </cell>
          <cell r="O83">
            <v>16</v>
          </cell>
        </row>
        <row r="84">
          <cell r="D84" t="str">
            <v>767</v>
          </cell>
          <cell r="E84" t="str">
            <v>Konstrukce zámečnické</v>
          </cell>
          <cell r="I84">
            <v>14785.66</v>
          </cell>
          <cell r="K84">
            <v>0</v>
          </cell>
          <cell r="M84">
            <v>0</v>
          </cell>
        </row>
        <row r="85">
          <cell r="I85">
            <v>10700</v>
          </cell>
          <cell r="N85">
            <v>19</v>
          </cell>
          <cell r="O85">
            <v>16</v>
          </cell>
        </row>
        <row r="86">
          <cell r="I86">
            <v>3879</v>
          </cell>
          <cell r="N86">
            <v>19</v>
          </cell>
          <cell r="O86">
            <v>16</v>
          </cell>
        </row>
        <row r="87">
          <cell r="I87">
            <v>206.66</v>
          </cell>
          <cell r="N87">
            <v>19</v>
          </cell>
          <cell r="O87">
            <v>16</v>
          </cell>
        </row>
        <row r="88">
          <cell r="D88" t="str">
            <v>771</v>
          </cell>
          <cell r="E88" t="str">
            <v>Podlahy z dlaždic</v>
          </cell>
          <cell r="I88">
            <v>32903.57</v>
          </cell>
          <cell r="K88">
            <v>0.6542612000000001</v>
          </cell>
          <cell r="M88">
            <v>0</v>
          </cell>
        </row>
        <row r="89">
          <cell r="I89">
            <v>14960.6</v>
          </cell>
          <cell r="N89">
            <v>19</v>
          </cell>
          <cell r="O89">
            <v>16</v>
          </cell>
        </row>
        <row r="90">
          <cell r="I90">
            <v>15401.88</v>
          </cell>
          <cell r="N90">
            <v>19</v>
          </cell>
          <cell r="O90">
            <v>32</v>
          </cell>
        </row>
        <row r="91">
          <cell r="I91">
            <v>753.92</v>
          </cell>
          <cell r="N91">
            <v>19</v>
          </cell>
          <cell r="O91">
            <v>16</v>
          </cell>
        </row>
        <row r="92">
          <cell r="I92">
            <v>1787.17</v>
          </cell>
          <cell r="N92">
            <v>19</v>
          </cell>
          <cell r="O92">
            <v>16</v>
          </cell>
        </row>
        <row r="93">
          <cell r="D93" t="str">
            <v>781</v>
          </cell>
          <cell r="E93" t="str">
            <v>Dokončovací práce - obklady keramické</v>
          </cell>
          <cell r="I93">
            <v>35648.08</v>
          </cell>
          <cell r="K93">
            <v>0.65897326</v>
          </cell>
          <cell r="M93">
            <v>0</v>
          </cell>
        </row>
        <row r="94">
          <cell r="I94">
            <v>18971.26</v>
          </cell>
          <cell r="N94">
            <v>19</v>
          </cell>
          <cell r="O94">
            <v>16</v>
          </cell>
        </row>
        <row r="95">
          <cell r="I95">
            <v>14906.23</v>
          </cell>
          <cell r="N95">
            <v>19</v>
          </cell>
          <cell r="O95">
            <v>32</v>
          </cell>
        </row>
        <row r="96">
          <cell r="I96">
            <v>752.47</v>
          </cell>
          <cell r="N96">
            <v>19</v>
          </cell>
          <cell r="O96">
            <v>16</v>
          </cell>
        </row>
        <row r="97">
          <cell r="I97">
            <v>1018.12</v>
          </cell>
          <cell r="N97">
            <v>19</v>
          </cell>
          <cell r="O97">
            <v>16</v>
          </cell>
        </row>
        <row r="98">
          <cell r="D98" t="str">
            <v>783</v>
          </cell>
          <cell r="E98" t="str">
            <v>Dokončovací práce - nátěry</v>
          </cell>
          <cell r="I98">
            <v>18721.16</v>
          </cell>
          <cell r="K98">
            <v>0.04477725</v>
          </cell>
          <cell r="M98">
            <v>0</v>
          </cell>
        </row>
        <row r="99">
          <cell r="I99">
            <v>18721.16</v>
          </cell>
          <cell r="N99">
            <v>19</v>
          </cell>
          <cell r="O99">
            <v>16</v>
          </cell>
        </row>
        <row r="100">
          <cell r="I100">
            <v>2265724.26</v>
          </cell>
          <cell r="K100">
            <v>343.90019671000005</v>
          </cell>
          <cell r="M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0">
      <selection activeCell="A1" sqref="A1"/>
    </sheetView>
  </sheetViews>
  <sheetFormatPr defaultColWidth="9.140625" defaultRowHeight="15"/>
  <cols>
    <col min="4" max="4" width="11.8515625" style="0" customWidth="1"/>
    <col min="6" max="6" width="11.57421875" style="0" customWidth="1"/>
    <col min="8" max="8" width="13.140625" style="0" customWidth="1"/>
  </cols>
  <sheetData>
    <row r="1" spans="1:8" ht="18.75" thickBot="1">
      <c r="A1" s="1"/>
      <c r="B1" s="2"/>
      <c r="C1" s="3" t="s">
        <v>0</v>
      </c>
      <c r="D1" s="2"/>
      <c r="E1" s="2"/>
      <c r="F1" s="2"/>
      <c r="G1" s="2"/>
      <c r="H1" s="4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15">
      <c r="A3" s="8"/>
      <c r="B3" s="9" t="s">
        <v>1</v>
      </c>
      <c r="C3" s="10" t="s">
        <v>2</v>
      </c>
      <c r="D3" s="11"/>
      <c r="E3" s="11"/>
      <c r="F3" s="11"/>
      <c r="G3" s="11"/>
      <c r="H3" s="12"/>
    </row>
    <row r="4" spans="1:8" ht="15">
      <c r="A4" s="8"/>
      <c r="B4" s="9" t="s">
        <v>3</v>
      </c>
      <c r="C4" s="10"/>
      <c r="D4" s="11"/>
      <c r="E4" s="11"/>
      <c r="F4" s="11"/>
      <c r="G4" s="11"/>
      <c r="H4" s="12"/>
    </row>
    <row r="5" spans="1:8" ht="15">
      <c r="A5" s="8"/>
      <c r="B5" s="11"/>
      <c r="C5" s="11"/>
      <c r="D5" s="11"/>
      <c r="E5" s="11"/>
      <c r="F5" s="11"/>
      <c r="G5" s="11"/>
      <c r="H5" s="12"/>
    </row>
    <row r="6" spans="1:8" ht="15">
      <c r="A6" s="8"/>
      <c r="B6" s="11" t="s">
        <v>4</v>
      </c>
      <c r="C6" s="13"/>
      <c r="D6" s="11"/>
      <c r="E6" s="11"/>
      <c r="F6" s="11"/>
      <c r="G6" s="14" t="s">
        <v>5</v>
      </c>
      <c r="H6" s="15" t="s">
        <v>6</v>
      </c>
    </row>
    <row r="7" spans="1:8" ht="15.75" thickBot="1">
      <c r="A7" s="16"/>
      <c r="B7" s="17"/>
      <c r="C7" s="17"/>
      <c r="D7" s="17"/>
      <c r="E7" s="17"/>
      <c r="F7" s="17"/>
      <c r="G7" s="17"/>
      <c r="H7" s="18"/>
    </row>
    <row r="8" spans="1:8" ht="15.75" thickBot="1">
      <c r="A8" s="11"/>
      <c r="B8" s="11"/>
      <c r="C8" s="11"/>
      <c r="D8" s="11"/>
      <c r="E8" s="11"/>
      <c r="F8" s="11"/>
      <c r="G8" s="11"/>
      <c r="H8" s="11"/>
    </row>
    <row r="9" spans="1:8" ht="15.75" thickBot="1">
      <c r="A9" s="19" t="s">
        <v>7</v>
      </c>
      <c r="B9" s="20"/>
      <c r="C9" s="21"/>
      <c r="D9" s="22"/>
      <c r="E9" s="23"/>
      <c r="F9" s="24">
        <v>53699844</v>
      </c>
      <c r="G9" s="22"/>
      <c r="H9" s="25"/>
    </row>
    <row r="10" spans="1:8" ht="15.75" thickBot="1">
      <c r="A10" s="5" t="s">
        <v>8</v>
      </c>
      <c r="B10" s="26"/>
      <c r="C10" s="7"/>
      <c r="D10" s="27">
        <v>9</v>
      </c>
      <c r="E10" s="28" t="s">
        <v>9</v>
      </c>
      <c r="F10" s="24">
        <v>0</v>
      </c>
      <c r="G10" s="22"/>
      <c r="H10" s="24">
        <v>0</v>
      </c>
    </row>
    <row r="11" spans="1:8" ht="15.75" thickBot="1">
      <c r="A11" s="16"/>
      <c r="B11" s="29"/>
      <c r="C11" s="18"/>
      <c r="D11" s="27">
        <v>19</v>
      </c>
      <c r="E11" s="28" t="s">
        <v>9</v>
      </c>
      <c r="F11" s="24">
        <v>53699844</v>
      </c>
      <c r="G11" s="30"/>
      <c r="H11" s="24">
        <v>10202970.4</v>
      </c>
    </row>
    <row r="12" spans="1:8" ht="15.75" thickBot="1">
      <c r="A12" s="31" t="s">
        <v>10</v>
      </c>
      <c r="B12" s="32"/>
      <c r="C12" s="33"/>
      <c r="D12" s="34"/>
      <c r="E12" s="35"/>
      <c r="F12" s="35"/>
      <c r="G12" s="35"/>
      <c r="H12" s="36">
        <v>63902814.4</v>
      </c>
    </row>
    <row r="13" spans="1:8" ht="15.75" thickBot="1">
      <c r="A13" s="11"/>
      <c r="B13" s="11"/>
      <c r="C13" s="11"/>
      <c r="D13" s="37"/>
      <c r="E13" s="11"/>
      <c r="F13" s="11"/>
      <c r="G13" s="11"/>
      <c r="H13" s="11"/>
    </row>
    <row r="14" spans="1:8" ht="15">
      <c r="A14" s="38" t="s">
        <v>11</v>
      </c>
      <c r="B14" s="39"/>
      <c r="C14" s="40"/>
      <c r="D14" s="38" t="s">
        <v>12</v>
      </c>
      <c r="E14" s="39"/>
      <c r="F14" s="40"/>
      <c r="G14" s="38" t="s">
        <v>13</v>
      </c>
      <c r="H14" s="40"/>
    </row>
    <row r="15" spans="1:8" ht="15">
      <c r="A15" s="41"/>
      <c r="B15" s="42"/>
      <c r="C15" s="12"/>
      <c r="D15" s="41"/>
      <c r="E15" s="11"/>
      <c r="F15" s="12"/>
      <c r="G15" s="41"/>
      <c r="H15" s="12"/>
    </row>
    <row r="16" spans="1:8" ht="15">
      <c r="A16" s="8" t="s">
        <v>14</v>
      </c>
      <c r="B16" s="11"/>
      <c r="C16" s="12" t="s">
        <v>15</v>
      </c>
      <c r="D16" s="8" t="s">
        <v>14</v>
      </c>
      <c r="E16" s="11" t="s">
        <v>15</v>
      </c>
      <c r="F16" s="12"/>
      <c r="G16" s="8" t="s">
        <v>14</v>
      </c>
      <c r="H16" s="12" t="s">
        <v>15</v>
      </c>
    </row>
    <row r="17" spans="1:8" ht="15">
      <c r="A17" s="41"/>
      <c r="B17" s="42"/>
      <c r="C17" s="15"/>
      <c r="D17" s="41"/>
      <c r="E17" s="42"/>
      <c r="F17" s="12"/>
      <c r="G17" s="41"/>
      <c r="H17" s="15"/>
    </row>
    <row r="18" spans="1:8" ht="15">
      <c r="A18" s="41"/>
      <c r="B18" s="42"/>
      <c r="C18" s="12"/>
      <c r="D18" s="41"/>
      <c r="E18" s="11"/>
      <c r="F18" s="12"/>
      <c r="G18" s="41"/>
      <c r="H18" s="12"/>
    </row>
    <row r="19" spans="1:8" ht="15">
      <c r="A19" s="41"/>
      <c r="B19" s="42"/>
      <c r="C19" s="12"/>
      <c r="D19" s="41"/>
      <c r="E19" s="11"/>
      <c r="F19" s="12"/>
      <c r="G19" s="41"/>
      <c r="H19" s="12"/>
    </row>
    <row r="20" spans="1:8" ht="15">
      <c r="A20" s="8"/>
      <c r="B20" s="11"/>
      <c r="C20" s="12"/>
      <c r="D20" s="8"/>
      <c r="E20" s="11"/>
      <c r="F20" s="12"/>
      <c r="G20" s="8"/>
      <c r="H20" s="12"/>
    </row>
    <row r="21" spans="1:8" ht="15.75" thickBot="1">
      <c r="A21" s="16" t="s">
        <v>16</v>
      </c>
      <c r="B21" s="29"/>
      <c r="C21" s="18"/>
      <c r="D21" s="16" t="s">
        <v>16</v>
      </c>
      <c r="E21" s="17"/>
      <c r="F21" s="18"/>
      <c r="G21" s="16" t="s">
        <v>16</v>
      </c>
      <c r="H21" s="18"/>
    </row>
    <row r="22" spans="1:8" ht="15.75" thickBot="1">
      <c r="A22" s="11"/>
      <c r="B22" s="11"/>
      <c r="C22" s="11"/>
      <c r="D22" s="11"/>
      <c r="E22" s="11"/>
      <c r="F22" s="11"/>
      <c r="G22" s="11"/>
      <c r="H22" s="11"/>
    </row>
    <row r="23" spans="1:8" ht="16.5" thickBot="1">
      <c r="A23" s="19"/>
      <c r="B23" s="28"/>
      <c r="C23" s="43" t="s">
        <v>17</v>
      </c>
      <c r="D23" s="28"/>
      <c r="E23" s="28"/>
      <c r="F23" s="44" t="s">
        <v>18</v>
      </c>
      <c r="G23" s="28"/>
      <c r="H23" s="21"/>
    </row>
    <row r="24" spans="1:8" ht="15.75" thickBot="1">
      <c r="A24" s="5"/>
      <c r="B24" s="39" t="s">
        <v>19</v>
      </c>
      <c r="C24" s="7"/>
      <c r="D24" s="19"/>
      <c r="E24" s="45" t="s">
        <v>20</v>
      </c>
      <c r="F24" s="21"/>
      <c r="G24" s="46" t="s">
        <v>21</v>
      </c>
      <c r="H24" s="46" t="s">
        <v>22</v>
      </c>
    </row>
    <row r="25" spans="1:8" ht="15.75" thickBot="1">
      <c r="A25" s="16"/>
      <c r="B25" s="17"/>
      <c r="C25" s="18"/>
      <c r="D25" s="47" t="s">
        <v>23</v>
      </c>
      <c r="E25" s="47" t="s">
        <v>24</v>
      </c>
      <c r="F25" s="47" t="s">
        <v>25</v>
      </c>
      <c r="G25" s="48" t="s">
        <v>26</v>
      </c>
      <c r="H25" s="48" t="s">
        <v>27</v>
      </c>
    </row>
    <row r="26" spans="1:8" ht="15.75" thickBot="1">
      <c r="A26" s="49" t="s">
        <v>28</v>
      </c>
      <c r="B26" s="50"/>
      <c r="C26" s="51"/>
      <c r="D26" s="52">
        <v>53699844</v>
      </c>
      <c r="E26" s="52">
        <v>0</v>
      </c>
      <c r="F26" s="52">
        <v>53699844</v>
      </c>
      <c r="G26" s="52">
        <v>0</v>
      </c>
      <c r="H26" s="53">
        <v>53699844</v>
      </c>
    </row>
    <row r="27" spans="1:8" ht="15">
      <c r="A27" s="49" t="s">
        <v>29</v>
      </c>
      <c r="B27" s="50"/>
      <c r="C27" s="51"/>
      <c r="D27" s="52">
        <v>0</v>
      </c>
      <c r="E27" s="52">
        <v>0</v>
      </c>
      <c r="F27" s="52">
        <v>0</v>
      </c>
      <c r="G27" s="52">
        <v>0</v>
      </c>
      <c r="H27" s="53">
        <v>0</v>
      </c>
    </row>
    <row r="28" spans="1:8" ht="15">
      <c r="A28" s="54" t="s">
        <v>30</v>
      </c>
      <c r="B28" s="55"/>
      <c r="C28" s="56"/>
      <c r="D28" s="57">
        <v>0</v>
      </c>
      <c r="E28" s="57">
        <v>0</v>
      </c>
      <c r="F28" s="57">
        <v>0</v>
      </c>
      <c r="G28" s="57">
        <v>0</v>
      </c>
      <c r="H28" s="58">
        <v>0</v>
      </c>
    </row>
    <row r="29" spans="1:8" ht="15">
      <c r="A29" s="54" t="s">
        <v>31</v>
      </c>
      <c r="B29" s="55"/>
      <c r="C29" s="56"/>
      <c r="D29" s="57">
        <v>0</v>
      </c>
      <c r="E29" s="57">
        <v>0</v>
      </c>
      <c r="F29" s="57">
        <v>0</v>
      </c>
      <c r="G29" s="57">
        <v>0</v>
      </c>
      <c r="H29" s="58">
        <v>0</v>
      </c>
    </row>
    <row r="30" spans="1:8" ht="15">
      <c r="A30" s="59" t="s">
        <v>32</v>
      </c>
      <c r="B30" s="60"/>
      <c r="C30" s="61"/>
      <c r="D30" s="62">
        <v>0</v>
      </c>
      <c r="E30" s="62">
        <v>0</v>
      </c>
      <c r="F30" s="62">
        <v>0</v>
      </c>
      <c r="G30" s="62">
        <v>0</v>
      </c>
      <c r="H30" s="63">
        <v>0</v>
      </c>
    </row>
    <row r="31" spans="1:8" ht="15.75" thickBot="1">
      <c r="A31" s="59" t="s">
        <v>33</v>
      </c>
      <c r="B31" s="60"/>
      <c r="C31" s="61"/>
      <c r="D31" s="62">
        <v>0</v>
      </c>
      <c r="E31" s="62">
        <v>0</v>
      </c>
      <c r="F31" s="62">
        <v>0</v>
      </c>
      <c r="G31" s="62">
        <v>0</v>
      </c>
      <c r="H31" s="63">
        <v>0</v>
      </c>
    </row>
    <row r="32" spans="1:8" ht="15">
      <c r="A32" s="49" t="s">
        <v>34</v>
      </c>
      <c r="B32" s="50"/>
      <c r="C32" s="51"/>
      <c r="D32" s="52">
        <v>0</v>
      </c>
      <c r="E32" s="52">
        <v>0</v>
      </c>
      <c r="F32" s="52">
        <v>0</v>
      </c>
      <c r="G32" s="52">
        <v>0</v>
      </c>
      <c r="H32" s="53">
        <v>0</v>
      </c>
    </row>
    <row r="33" spans="1:8" ht="15">
      <c r="A33" s="54" t="s">
        <v>35</v>
      </c>
      <c r="B33" s="55"/>
      <c r="C33" s="56"/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5.75" thickBot="1">
      <c r="A34" s="54" t="s">
        <v>36</v>
      </c>
      <c r="B34" s="55"/>
      <c r="C34" s="56"/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5.75" thickBot="1">
      <c r="A35" s="49" t="s">
        <v>37</v>
      </c>
      <c r="B35" s="50"/>
      <c r="C35" s="51"/>
      <c r="D35" s="52">
        <v>51850266.4</v>
      </c>
      <c r="E35" s="52">
        <v>0</v>
      </c>
      <c r="F35" s="52">
        <v>51850266.4</v>
      </c>
      <c r="G35" s="52">
        <v>0</v>
      </c>
      <c r="H35" s="53">
        <v>51850266.4</v>
      </c>
    </row>
    <row r="36" spans="1:8" ht="15">
      <c r="A36" s="49" t="s">
        <v>38</v>
      </c>
      <c r="B36" s="50"/>
      <c r="C36" s="51"/>
      <c r="D36" s="52">
        <v>51850266.4</v>
      </c>
      <c r="E36" s="52">
        <v>0</v>
      </c>
      <c r="F36" s="52">
        <v>51850266.4</v>
      </c>
      <c r="G36" s="52">
        <v>0</v>
      </c>
      <c r="H36" s="53">
        <v>51850266.4</v>
      </c>
    </row>
    <row r="37" spans="1:8" ht="15">
      <c r="A37" s="54" t="s">
        <v>39</v>
      </c>
      <c r="B37" s="55"/>
      <c r="C37" s="56"/>
      <c r="D37" s="57">
        <v>37112614.86</v>
      </c>
      <c r="E37" s="57">
        <v>0</v>
      </c>
      <c r="F37" s="57">
        <v>37112614.86</v>
      </c>
      <c r="G37" s="57">
        <v>0</v>
      </c>
      <c r="H37" s="58">
        <v>37112614.86</v>
      </c>
    </row>
    <row r="38" spans="1:8" ht="15">
      <c r="A38" s="54" t="s">
        <v>40</v>
      </c>
      <c r="B38" s="55"/>
      <c r="C38" s="56"/>
      <c r="D38" s="57">
        <v>12477635.46</v>
      </c>
      <c r="E38" s="57">
        <v>0</v>
      </c>
      <c r="F38" s="57">
        <v>12477635.46</v>
      </c>
      <c r="G38" s="57">
        <v>0</v>
      </c>
      <c r="H38" s="58">
        <v>12477635.46</v>
      </c>
    </row>
    <row r="39" spans="1:8" ht="15">
      <c r="A39" s="54" t="s">
        <v>41</v>
      </c>
      <c r="B39" s="55"/>
      <c r="C39" s="56"/>
      <c r="D39" s="57">
        <v>771645.22</v>
      </c>
      <c r="E39" s="57">
        <v>0</v>
      </c>
      <c r="F39" s="57">
        <v>771645.22</v>
      </c>
      <c r="G39" s="57">
        <v>0</v>
      </c>
      <c r="H39" s="58">
        <v>771645.22</v>
      </c>
    </row>
    <row r="40" spans="1:8" ht="15">
      <c r="A40" s="54" t="s">
        <v>42</v>
      </c>
      <c r="B40" s="55"/>
      <c r="C40" s="56"/>
      <c r="D40" s="57">
        <v>353857.52</v>
      </c>
      <c r="E40" s="57">
        <v>0</v>
      </c>
      <c r="F40" s="57">
        <v>353857.52</v>
      </c>
      <c r="G40" s="57">
        <v>0</v>
      </c>
      <c r="H40" s="58">
        <v>353857.52</v>
      </c>
    </row>
    <row r="41" spans="1:8" ht="15">
      <c r="A41" s="54" t="s">
        <v>43</v>
      </c>
      <c r="B41" s="55"/>
      <c r="C41" s="56"/>
      <c r="D41" s="57">
        <v>1134513.34</v>
      </c>
      <c r="E41" s="57">
        <v>0</v>
      </c>
      <c r="F41" s="57">
        <v>1134513.34</v>
      </c>
      <c r="G41" s="57">
        <v>0</v>
      </c>
      <c r="H41" s="58">
        <v>1134513.34</v>
      </c>
    </row>
    <row r="42" spans="1:8" ht="15">
      <c r="A42" s="54" t="s">
        <v>44</v>
      </c>
      <c r="B42" s="55"/>
      <c r="C42" s="56"/>
      <c r="D42" s="57">
        <v>0</v>
      </c>
      <c r="E42" s="57">
        <v>0</v>
      </c>
      <c r="F42" s="57">
        <v>0</v>
      </c>
      <c r="G42" s="57">
        <v>0</v>
      </c>
      <c r="H42" s="58">
        <v>0</v>
      </c>
    </row>
    <row r="43" spans="1:8" ht="15">
      <c r="A43" s="54" t="s">
        <v>45</v>
      </c>
      <c r="B43" s="55"/>
      <c r="C43" s="56"/>
      <c r="D43" s="57">
        <v>0</v>
      </c>
      <c r="E43" s="57">
        <v>0</v>
      </c>
      <c r="F43" s="57">
        <v>0</v>
      </c>
      <c r="G43" s="57">
        <v>0</v>
      </c>
      <c r="H43" s="58">
        <v>0</v>
      </c>
    </row>
    <row r="44" spans="1:8" ht="15.75" thickBot="1">
      <c r="A44" s="54" t="s">
        <v>46</v>
      </c>
      <c r="B44" s="55"/>
      <c r="C44" s="56"/>
      <c r="D44" s="57">
        <v>0</v>
      </c>
      <c r="E44" s="57">
        <v>0</v>
      </c>
      <c r="F44" s="57">
        <v>0</v>
      </c>
      <c r="G44" s="57">
        <v>0</v>
      </c>
      <c r="H44" s="58">
        <v>0</v>
      </c>
    </row>
    <row r="45" spans="1:8" ht="15">
      <c r="A45" s="49" t="s">
        <v>47</v>
      </c>
      <c r="B45" s="50"/>
      <c r="C45" s="51"/>
      <c r="D45" s="52">
        <v>0</v>
      </c>
      <c r="E45" s="52">
        <v>0</v>
      </c>
      <c r="F45" s="52">
        <v>0</v>
      </c>
      <c r="G45" s="52">
        <v>0</v>
      </c>
      <c r="H45" s="53">
        <v>0</v>
      </c>
    </row>
    <row r="46" spans="1:8" ht="15">
      <c r="A46" s="54" t="s">
        <v>48</v>
      </c>
      <c r="B46" s="55"/>
      <c r="C46" s="56"/>
      <c r="D46" s="57">
        <v>0</v>
      </c>
      <c r="E46" s="57">
        <v>0</v>
      </c>
      <c r="F46" s="57">
        <v>0</v>
      </c>
      <c r="G46" s="57">
        <v>0</v>
      </c>
      <c r="H46" s="58">
        <v>0</v>
      </c>
    </row>
    <row r="47" spans="1:8" ht="15.75" thickBot="1">
      <c r="A47" s="59" t="s">
        <v>49</v>
      </c>
      <c r="B47" s="60"/>
      <c r="C47" s="61"/>
      <c r="D47" s="62">
        <v>0</v>
      </c>
      <c r="E47" s="62">
        <v>0</v>
      </c>
      <c r="F47" s="62">
        <v>0</v>
      </c>
      <c r="G47" s="62">
        <v>0</v>
      </c>
      <c r="H47" s="63">
        <v>0</v>
      </c>
    </row>
    <row r="48" spans="1:8" ht="15">
      <c r="A48" s="49" t="s">
        <v>50</v>
      </c>
      <c r="B48" s="50"/>
      <c r="C48" s="51"/>
      <c r="D48" s="52">
        <v>0</v>
      </c>
      <c r="E48" s="52">
        <v>0</v>
      </c>
      <c r="F48" s="52">
        <v>0</v>
      </c>
      <c r="G48" s="52">
        <v>0</v>
      </c>
      <c r="H48" s="53">
        <v>0</v>
      </c>
    </row>
    <row r="49" spans="1:8" ht="15">
      <c r="A49" s="54" t="s">
        <v>51</v>
      </c>
      <c r="B49" s="55"/>
      <c r="C49" s="56"/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5.75" thickBot="1">
      <c r="A50" s="59" t="s">
        <v>52</v>
      </c>
      <c r="B50" s="60"/>
      <c r="C50" s="61"/>
      <c r="D50" s="62">
        <v>0</v>
      </c>
      <c r="E50" s="62">
        <v>0</v>
      </c>
      <c r="F50" s="62">
        <v>0</v>
      </c>
      <c r="G50" s="62">
        <v>0</v>
      </c>
      <c r="H50" s="63">
        <v>0</v>
      </c>
    </row>
    <row r="51" spans="1:8" ht="15">
      <c r="A51" s="49" t="s">
        <v>53</v>
      </c>
      <c r="B51" s="50"/>
      <c r="C51" s="51"/>
      <c r="D51" s="52">
        <v>1244406.4</v>
      </c>
      <c r="E51" s="52">
        <v>0</v>
      </c>
      <c r="F51" s="52">
        <v>1244406.4</v>
      </c>
      <c r="G51" s="52">
        <v>0</v>
      </c>
      <c r="H51" s="53">
        <v>1244406.4</v>
      </c>
    </row>
    <row r="52" spans="1:8" ht="15">
      <c r="A52" s="54" t="s">
        <v>54</v>
      </c>
      <c r="B52" s="55"/>
      <c r="C52" s="56"/>
      <c r="D52" s="57">
        <v>1244406.4</v>
      </c>
      <c r="E52" s="57">
        <v>0</v>
      </c>
      <c r="F52" s="57">
        <v>1244406.4</v>
      </c>
      <c r="G52" s="57">
        <v>0</v>
      </c>
      <c r="H52" s="58">
        <v>1244406.4</v>
      </c>
    </row>
    <row r="53" spans="1:8" ht="15">
      <c r="A53" s="54" t="s">
        <v>55</v>
      </c>
      <c r="B53" s="55"/>
      <c r="C53" s="56"/>
      <c r="D53" s="57">
        <v>0</v>
      </c>
      <c r="E53" s="57">
        <v>0</v>
      </c>
      <c r="F53" s="57">
        <v>0</v>
      </c>
      <c r="G53" s="57">
        <v>0</v>
      </c>
      <c r="H53" s="58">
        <v>0</v>
      </c>
    </row>
    <row r="54" spans="1:8" ht="15.75" thickBot="1">
      <c r="A54" s="59" t="s">
        <v>56</v>
      </c>
      <c r="B54" s="60"/>
      <c r="C54" s="61"/>
      <c r="D54" s="62">
        <v>0</v>
      </c>
      <c r="E54" s="62">
        <v>0</v>
      </c>
      <c r="F54" s="62">
        <v>0</v>
      </c>
      <c r="G54" s="62">
        <v>0</v>
      </c>
      <c r="H54" s="63">
        <v>0</v>
      </c>
    </row>
    <row r="55" spans="1:8" ht="15">
      <c r="A55" s="49" t="s">
        <v>57</v>
      </c>
      <c r="B55" s="50"/>
      <c r="C55" s="51"/>
      <c r="D55" s="52">
        <v>0</v>
      </c>
      <c r="E55" s="52">
        <v>0</v>
      </c>
      <c r="F55" s="52">
        <v>0</v>
      </c>
      <c r="G55" s="52">
        <v>0</v>
      </c>
      <c r="H55" s="53">
        <v>0</v>
      </c>
    </row>
    <row r="56" spans="1:8" ht="15">
      <c r="A56" s="54" t="s">
        <v>58</v>
      </c>
      <c r="B56" s="55"/>
      <c r="C56" s="56"/>
      <c r="D56" s="57">
        <v>0</v>
      </c>
      <c r="E56" s="57">
        <v>0</v>
      </c>
      <c r="F56" s="57">
        <v>0</v>
      </c>
      <c r="G56" s="57">
        <v>0</v>
      </c>
      <c r="H56" s="58">
        <v>0</v>
      </c>
    </row>
    <row r="57" spans="1:8" ht="15">
      <c r="A57" s="54" t="s">
        <v>59</v>
      </c>
      <c r="B57" s="55"/>
      <c r="C57" s="56"/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5">
      <c r="A58" s="59" t="s">
        <v>60</v>
      </c>
      <c r="B58" s="60"/>
      <c r="C58" s="61"/>
      <c r="D58" s="62">
        <v>0</v>
      </c>
      <c r="E58" s="62">
        <v>0</v>
      </c>
      <c r="F58" s="62">
        <v>0</v>
      </c>
      <c r="G58" s="62">
        <v>0</v>
      </c>
      <c r="H58" s="63">
        <v>0</v>
      </c>
    </row>
    <row r="59" spans="1:8" ht="15">
      <c r="A59" s="59" t="s">
        <v>61</v>
      </c>
      <c r="B59" s="60"/>
      <c r="C59" s="61"/>
      <c r="D59" s="62">
        <v>0</v>
      </c>
      <c r="E59" s="62">
        <v>0</v>
      </c>
      <c r="F59" s="62">
        <v>0</v>
      </c>
      <c r="G59" s="62">
        <v>0</v>
      </c>
      <c r="H59" s="63">
        <v>0</v>
      </c>
    </row>
    <row r="60" spans="1:8" ht="15.75" thickBot="1">
      <c r="A60" s="59" t="s">
        <v>62</v>
      </c>
      <c r="B60" s="60"/>
      <c r="C60" s="61"/>
      <c r="D60" s="62">
        <v>0</v>
      </c>
      <c r="E60" s="62">
        <v>0</v>
      </c>
      <c r="F60" s="62">
        <v>0</v>
      </c>
      <c r="G60" s="62">
        <v>0</v>
      </c>
      <c r="H60" s="63">
        <v>0</v>
      </c>
    </row>
    <row r="61" spans="1:8" ht="15">
      <c r="A61" s="49" t="s">
        <v>63</v>
      </c>
      <c r="B61" s="50"/>
      <c r="C61" s="51"/>
      <c r="D61" s="52">
        <v>0</v>
      </c>
      <c r="E61" s="52">
        <v>0</v>
      </c>
      <c r="F61" s="52">
        <v>0</v>
      </c>
      <c r="G61" s="52">
        <v>0</v>
      </c>
      <c r="H61" s="53">
        <v>0</v>
      </c>
    </row>
    <row r="62" spans="1:8" ht="15">
      <c r="A62" s="54" t="s">
        <v>64</v>
      </c>
      <c r="B62" s="55"/>
      <c r="C62" s="56"/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5.75" thickBot="1">
      <c r="A63" s="59" t="s">
        <v>65</v>
      </c>
      <c r="B63" s="60"/>
      <c r="C63" s="61"/>
      <c r="D63" s="62">
        <v>0</v>
      </c>
      <c r="E63" s="62">
        <v>0</v>
      </c>
      <c r="F63" s="62">
        <v>0</v>
      </c>
      <c r="G63" s="62">
        <v>0</v>
      </c>
      <c r="H63" s="63">
        <v>0</v>
      </c>
    </row>
    <row r="64" spans="1:8" ht="15">
      <c r="A64" s="49" t="s">
        <v>66</v>
      </c>
      <c r="B64" s="50"/>
      <c r="C64" s="51"/>
      <c r="D64" s="52">
        <v>0</v>
      </c>
      <c r="E64" s="52">
        <v>0</v>
      </c>
      <c r="F64" s="52">
        <v>0</v>
      </c>
      <c r="G64" s="52">
        <v>0</v>
      </c>
      <c r="H64" s="53">
        <v>0</v>
      </c>
    </row>
    <row r="65" spans="1:8" ht="15">
      <c r="A65" s="54" t="s">
        <v>67</v>
      </c>
      <c r="B65" s="55"/>
      <c r="C65" s="56"/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5.75" thickBot="1">
      <c r="A66" s="59" t="s">
        <v>68</v>
      </c>
      <c r="B66" s="60"/>
      <c r="C66" s="61"/>
      <c r="D66" s="62">
        <v>0</v>
      </c>
      <c r="E66" s="62">
        <v>0</v>
      </c>
      <c r="F66" s="62">
        <v>0</v>
      </c>
      <c r="G66" s="62">
        <v>0</v>
      </c>
      <c r="H66" s="63">
        <v>0</v>
      </c>
    </row>
    <row r="67" spans="1:8" ht="15">
      <c r="A67" s="49" t="s">
        <v>69</v>
      </c>
      <c r="B67" s="50"/>
      <c r="C67" s="51"/>
      <c r="D67" s="52">
        <v>605171.2</v>
      </c>
      <c r="E67" s="52">
        <v>0</v>
      </c>
      <c r="F67" s="52">
        <v>605171.2</v>
      </c>
      <c r="G67" s="52">
        <v>0</v>
      </c>
      <c r="H67" s="53">
        <v>605171.2</v>
      </c>
    </row>
    <row r="68" spans="1:8" ht="15">
      <c r="A68" s="54" t="s">
        <v>70</v>
      </c>
      <c r="B68" s="55"/>
      <c r="C68" s="56"/>
      <c r="D68" s="57">
        <v>605171.2</v>
      </c>
      <c r="E68" s="57">
        <v>0</v>
      </c>
      <c r="F68" s="57">
        <v>605171.2</v>
      </c>
      <c r="G68" s="57">
        <v>0</v>
      </c>
      <c r="H68" s="58">
        <v>605171.2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V46" sqref="V46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350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90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SUMIF('[3]Rozpocet'!O5:O65535,8,'[3]Rozpocet'!I5:I65535)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591332.32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SUMIF('[3]Rozpocet'!O10:O65536,4,'[3]Rozpocet'!I10:I65536)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SUMIF('[3]Rozpocet'!O11:O65536,32,'[3]Rozpocet'!I11:I65536)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SUMIF('[3]Rozpocet'!O12:O65536,16,'[3]Rozpocet'!I12:I65536)+SUMIF('[3]Rozpocet'!O12:O65536,128,'[3]Rozpocet'!I12:I65536)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SUMIF('[3]Rozpocet'!O13:O65536,256,'[3]Rozpocet'!I13:I65536)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SUMIF('[3]Rozpocet'!O14:O65536,64,'[3]Rozpocet'!I14:I65536)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SUMIF('[3]Rozpocet'!O14:O65536,1024,'[3]Rozpocet'!I14:I65536)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SUMIF('[3]Rozpocet'!O14:O65536,512,'[3]Rozpocet'!I14:I65536)</f>
        <v>#VALUE!</v>
      </c>
      <c r="F45" s="223"/>
      <c r="G45" s="267">
        <v>21</v>
      </c>
      <c r="H45" s="268" t="s">
        <v>193</v>
      </c>
      <c r="I45" s="270"/>
      <c r="J45" s="272">
        <v>274682.01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SUMIF('[3]Rozpocet'!O14:O65536,"&lt;4",'[3]Rozpocet'!I14:I65536)+SUMIF('[3]Rozpocet'!O14:O65536,"&gt;1024",'[3]Rozpocet'!I14:I65536)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SUMIF('[3]Rozpocet'!N14:N65536,M49,'[3]Rozpocet'!I14:I65536)+SUMIF(P38:P42,M49,R38:R42)+IF(K45=M49,J45,0)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'[3]Krycí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'[3]Krycí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'[3]Krycí list'!E9</f>
        <v>SO 01 Stoka RA DN 400</v>
      </c>
      <c r="C4" s="301"/>
      <c r="D4" s="299"/>
      <c r="E4" s="302"/>
    </row>
    <row r="5" spans="1:5" ht="12" customHeight="1">
      <c r="A5" s="299" t="s">
        <v>227</v>
      </c>
      <c r="B5" s="299" t="str">
        <f>'[3]Krycí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'[3]Krycí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'[3]Krycí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'[3]Rozpocet'!D14</f>
        <v>HSV</v>
      </c>
      <c r="B14" s="315" t="str">
        <f>'[3]Rozpocet'!E14</f>
        <v>Práce a dodávky HSV</v>
      </c>
      <c r="C14" s="316">
        <f>'[3]Rozpocet'!I14</f>
        <v>24330592.08</v>
      </c>
      <c r="D14" s="317">
        <f>'[3]Rozpocet'!K14</f>
        <v>1673.6502079499999</v>
      </c>
      <c r="E14" s="317">
        <f>'[3]Rozpocet'!M14</f>
        <v>359.784</v>
      </c>
    </row>
    <row r="15" spans="1:5" s="318" customFormat="1" ht="12.75" customHeight="1">
      <c r="A15" s="319" t="str">
        <f>'[3]Rozpocet'!D15</f>
        <v>1</v>
      </c>
      <c r="B15" s="320" t="str">
        <f>'[3]Rozpocet'!E15</f>
        <v>Zemní práce</v>
      </c>
      <c r="C15" s="321">
        <f>'[3]Rozpocet'!I15</f>
        <v>7556239.869999999</v>
      </c>
      <c r="D15" s="322">
        <f>'[3]Rozpocet'!K15</f>
        <v>1015.8464597</v>
      </c>
      <c r="E15" s="322">
        <f>'[3]Rozpocet'!M15</f>
        <v>359.784</v>
      </c>
    </row>
    <row r="16" spans="1:5" s="318" customFormat="1" ht="12.75" customHeight="1">
      <c r="A16" s="319" t="str">
        <f>'[3]Rozpocet'!D48</f>
        <v>1-1</v>
      </c>
      <c r="B16" s="320" t="str">
        <f>'[3]Rozpocet'!E48</f>
        <v>Protlak</v>
      </c>
      <c r="C16" s="321">
        <f>'[3]Rozpocet'!I48</f>
        <v>731134.9500000001</v>
      </c>
      <c r="D16" s="322">
        <f>'[3]Rozpocet'!K48</f>
        <v>2.3121967999999997</v>
      </c>
      <c r="E16" s="322">
        <f>'[3]Rozpocet'!M48</f>
        <v>0</v>
      </c>
    </row>
    <row r="17" spans="1:5" s="318" customFormat="1" ht="12.75" customHeight="1">
      <c r="A17" s="319" t="str">
        <f>'[3]Rozpocet'!D54</f>
        <v>2</v>
      </c>
      <c r="B17" s="320" t="str">
        <f>'[3]Rozpocet'!E54</f>
        <v>Zakládání</v>
      </c>
      <c r="C17" s="321">
        <f>'[3]Rozpocet'!I54</f>
        <v>338966.52</v>
      </c>
      <c r="D17" s="322">
        <f>'[3]Rozpocet'!K54</f>
        <v>389.2785793</v>
      </c>
      <c r="E17" s="322">
        <f>'[3]Rozpocet'!M54</f>
        <v>0</v>
      </c>
    </row>
    <row r="18" spans="1:5" s="318" customFormat="1" ht="12.75" customHeight="1">
      <c r="A18" s="319" t="str">
        <f>'[3]Rozpocet'!D57</f>
        <v>4</v>
      </c>
      <c r="B18" s="320" t="str">
        <f>'[3]Rozpocet'!E57</f>
        <v>Vodorovné konstrukce</v>
      </c>
      <c r="C18" s="321">
        <f>'[3]Rozpocet'!I57</f>
        <v>585219.3200000001</v>
      </c>
      <c r="D18" s="322">
        <f>'[3]Rozpocet'!K57</f>
        <v>1.6822936400000001</v>
      </c>
      <c r="E18" s="322">
        <f>'[3]Rozpocet'!M57</f>
        <v>0</v>
      </c>
    </row>
    <row r="19" spans="1:5" s="318" customFormat="1" ht="12.75" customHeight="1">
      <c r="A19" s="319" t="str">
        <f>'[3]Rozpocet'!D60</f>
        <v>5</v>
      </c>
      <c r="B19" s="320" t="str">
        <f>'[3]Rozpocet'!E60</f>
        <v>Komunikace</v>
      </c>
      <c r="C19" s="321">
        <f>'[3]Rozpocet'!I60</f>
        <v>390187.8</v>
      </c>
      <c r="D19" s="322">
        <f>'[3]Rozpocet'!K60</f>
        <v>1.2312</v>
      </c>
      <c r="E19" s="322">
        <f>'[3]Rozpocet'!M60</f>
        <v>0</v>
      </c>
    </row>
    <row r="20" spans="1:5" s="318" customFormat="1" ht="12.75" customHeight="1">
      <c r="A20" s="319" t="str">
        <f>'[3]Rozpocet'!D66</f>
        <v>8</v>
      </c>
      <c r="B20" s="320" t="str">
        <f>'[3]Rozpocet'!E66</f>
        <v>Trubní vedení</v>
      </c>
      <c r="C20" s="321">
        <f>'[3]Rozpocet'!I66</f>
        <v>14270708.93</v>
      </c>
      <c r="D20" s="322">
        <f>'[3]Rozpocet'!K66</f>
        <v>263.29947851</v>
      </c>
      <c r="E20" s="322">
        <f>'[3]Rozpocet'!M66</f>
        <v>0</v>
      </c>
    </row>
    <row r="21" spans="1:5" s="318" customFormat="1" ht="12.75" customHeight="1">
      <c r="A21" s="319" t="str">
        <f>'[3]Rozpocet'!D90</f>
        <v>9</v>
      </c>
      <c r="B21" s="320" t="str">
        <f>'[3]Rozpocet'!E90</f>
        <v>Ostatní konstrukce a práce-bourání</v>
      </c>
      <c r="C21" s="321">
        <f>'[3]Rozpocet'!I90</f>
        <v>193697.99</v>
      </c>
      <c r="D21" s="322">
        <f>'[3]Rozpocet'!K90</f>
        <v>0</v>
      </c>
      <c r="E21" s="322">
        <f>'[3]Rozpocet'!M90</f>
        <v>0</v>
      </c>
    </row>
    <row r="22" spans="1:5" s="318" customFormat="1" ht="12.75" customHeight="1">
      <c r="A22" s="319" t="str">
        <f>'[3]Rozpocet'!D95</f>
        <v>99</v>
      </c>
      <c r="B22" s="320" t="str">
        <f>'[3]Rozpocet'!E95</f>
        <v>Přesun hmot</v>
      </c>
      <c r="C22" s="321">
        <f>'[3]Rozpocet'!I95</f>
        <v>264436.7</v>
      </c>
      <c r="D22" s="322">
        <f>'[3]Rozpocet'!K95</f>
        <v>0</v>
      </c>
      <c r="E22" s="322">
        <f>'[3]Rozpocet'!M95</f>
        <v>0</v>
      </c>
    </row>
    <row r="23" spans="1:5" s="318" customFormat="1" ht="12.75" customHeight="1">
      <c r="A23" s="314" t="str">
        <f>'[3]Rozpocet'!D97</f>
        <v>M</v>
      </c>
      <c r="B23" s="315" t="str">
        <f>'[3]Rozpocet'!E97</f>
        <v>Práce a dodávky M</v>
      </c>
      <c r="C23" s="316">
        <f>'[3]Rozpocet'!I97</f>
        <v>308254.66000000003</v>
      </c>
      <c r="D23" s="317">
        <f>'[3]Rozpocet'!K97</f>
        <v>0</v>
      </c>
      <c r="E23" s="317">
        <f>'[3]Rozpocet'!M97</f>
        <v>0</v>
      </c>
    </row>
    <row r="24" spans="1:5" s="318" customFormat="1" ht="12.75" customHeight="1">
      <c r="A24" s="319" t="str">
        <f>'[3]Rozpocet'!D98</f>
        <v>23-M</v>
      </c>
      <c r="B24" s="320" t="str">
        <f>'[3]Rozpocet'!E98</f>
        <v>Montáže potrubí</v>
      </c>
      <c r="C24" s="321">
        <f>'[3]Rozpocet'!I98</f>
        <v>308254.66000000003</v>
      </c>
      <c r="D24" s="322">
        <f>'[3]Rozpocet'!K98</f>
        <v>0</v>
      </c>
      <c r="E24" s="322">
        <f>'[3]Rozpocet'!M98</f>
        <v>0</v>
      </c>
    </row>
    <row r="25" spans="2:5" s="323" customFormat="1" ht="12.75" customHeight="1">
      <c r="B25" s="324" t="s">
        <v>124</v>
      </c>
      <c r="C25" s="325">
        <f>'[3]Rozpocet'!I101</f>
        <v>24638846.74</v>
      </c>
      <c r="D25" s="326">
        <f>'[3]Rozpocet'!K101</f>
        <v>1673.6502079499999</v>
      </c>
      <c r="E25" s="326">
        <f>'[3]Rozpocet'!M101</f>
        <v>359.784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D36" sqref="D36"/>
      <selection pane="bottomLeft" activeCell="D36" sqref="D36"/>
    </sheetView>
  </sheetViews>
  <sheetFormatPr defaultColWidth="9.140625" defaultRowHeight="11.25" customHeight="1"/>
  <cols>
    <col min="1" max="1" width="9.4218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8.7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'[2]Krycí list'!E7</f>
        <v>SO 01 Stoka RA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'[2]Krycí list'!E9</f>
        <v>SO 01 Stoka RA DN 300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'[2]Krycí list'!P5</f>
        <v> 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3</v>
      </c>
      <c r="C12" s="647">
        <v>4</v>
      </c>
      <c r="D12" s="647">
        <v>5</v>
      </c>
      <c r="E12" s="647">
        <v>6</v>
      </c>
      <c r="F12" s="647">
        <v>7</v>
      </c>
      <c r="G12" s="647">
        <v>8</v>
      </c>
      <c r="H12" s="647">
        <v>9</v>
      </c>
      <c r="I12" s="647"/>
      <c r="J12" s="647"/>
      <c r="K12" s="647"/>
      <c r="L12" s="647"/>
      <c r="M12" s="647">
        <v>10</v>
      </c>
      <c r="N12" s="331">
        <v>11</v>
      </c>
      <c r="O12" s="332">
        <v>12</v>
      </c>
    </row>
    <row r="13" spans="1:15" ht="3.75" customHeight="1">
      <c r="A13" s="650"/>
      <c r="B13" s="651"/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2"/>
      <c r="N13" s="328"/>
      <c r="O13" s="333"/>
    </row>
    <row r="14" spans="1:15" s="318" customFormat="1" ht="12.75" customHeight="1">
      <c r="A14" s="456"/>
      <c r="B14" s="457"/>
      <c r="C14" s="457" t="s">
        <v>155</v>
      </c>
      <c r="D14" s="457" t="s">
        <v>243</v>
      </c>
      <c r="E14" s="457"/>
      <c r="F14" s="457"/>
      <c r="G14" s="457"/>
      <c r="H14" s="458">
        <f>H15+H37+H40+H44+H50+H69+H74</f>
        <v>0</v>
      </c>
      <c r="I14" s="457"/>
      <c r="J14" s="459">
        <f>J15+J37+J40+J44+J50+J69+J74</f>
        <v>2795.7327189199996</v>
      </c>
      <c r="K14" s="457"/>
      <c r="L14" s="459">
        <f>L15+L37+L40+L44+L50+L69+L74</f>
        <v>1077.738816</v>
      </c>
      <c r="M14" s="460"/>
      <c r="O14" s="315" t="s">
        <v>244</v>
      </c>
    </row>
    <row r="15" spans="1:15" s="318" customFormat="1" ht="12.75" customHeight="1">
      <c r="A15" s="461"/>
      <c r="B15" s="462"/>
      <c r="C15" s="462" t="s">
        <v>154</v>
      </c>
      <c r="D15" s="462" t="s">
        <v>245</v>
      </c>
      <c r="E15" s="462"/>
      <c r="F15" s="462"/>
      <c r="G15" s="462"/>
      <c r="H15" s="463">
        <f>SUM(H16:H36)</f>
        <v>0</v>
      </c>
      <c r="I15" s="462"/>
      <c r="J15" s="464">
        <f>SUM(J16:J36)</f>
        <v>2593.17566078</v>
      </c>
      <c r="K15" s="462"/>
      <c r="L15" s="464">
        <f>SUM(L16:L36)</f>
        <v>1077.738816</v>
      </c>
      <c r="M15" s="465"/>
      <c r="O15" s="320" t="s">
        <v>154</v>
      </c>
    </row>
    <row r="16" spans="1:15" s="196" customFormat="1" ht="13.5" customHeight="1">
      <c r="A16" s="400" t="s">
        <v>154</v>
      </c>
      <c r="B16" s="403">
        <v>2</v>
      </c>
      <c r="C16" s="420" t="s">
        <v>757</v>
      </c>
      <c r="D16" s="398" t="s">
        <v>246</v>
      </c>
      <c r="E16" s="400" t="s">
        <v>247</v>
      </c>
      <c r="F16" s="401">
        <v>745.668</v>
      </c>
      <c r="G16" s="402"/>
      <c r="H16" s="402">
        <f aca="true" t="shared" si="0" ref="H16:H34">ROUND(F16*G16,2)</f>
        <v>0</v>
      </c>
      <c r="I16" s="449">
        <v>0</v>
      </c>
      <c r="J16" s="401">
        <f aca="true" t="shared" si="1" ref="J16:J34">F16*I16</f>
        <v>0</v>
      </c>
      <c r="K16" s="449">
        <v>0.235</v>
      </c>
      <c r="L16" s="401">
        <f aca="true" t="shared" si="2" ref="L16:L34">F16*K16</f>
        <v>175.23198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2</v>
      </c>
      <c r="C17" s="420" t="s">
        <v>758</v>
      </c>
      <c r="D17" s="398" t="s">
        <v>248</v>
      </c>
      <c r="E17" s="400" t="s">
        <v>247</v>
      </c>
      <c r="F17" s="401">
        <v>745.668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0.56</v>
      </c>
      <c r="L17" s="401">
        <f t="shared" si="2"/>
        <v>417.57408000000004</v>
      </c>
      <c r="M17" s="450">
        <f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2</v>
      </c>
      <c r="C18" s="420" t="s">
        <v>759</v>
      </c>
      <c r="D18" s="398" t="s">
        <v>249</v>
      </c>
      <c r="E18" s="400" t="s">
        <v>247</v>
      </c>
      <c r="F18" s="401">
        <v>745.668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0.181</v>
      </c>
      <c r="L18" s="401">
        <f t="shared" si="2"/>
        <v>134.96590799999998</v>
      </c>
      <c r="M18" s="450">
        <f aca="true" t="shared" si="3" ref="M18:M27">$M$17</f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2</v>
      </c>
      <c r="C19" s="420" t="s">
        <v>760</v>
      </c>
      <c r="D19" s="451" t="s">
        <v>250</v>
      </c>
      <c r="E19" s="400" t="s">
        <v>247</v>
      </c>
      <c r="F19" s="401">
        <v>2734.116</v>
      </c>
      <c r="G19" s="402"/>
      <c r="H19" s="402">
        <f t="shared" si="0"/>
        <v>0</v>
      </c>
      <c r="I19" s="449">
        <v>2E-05</v>
      </c>
      <c r="J19" s="401">
        <f t="shared" si="1"/>
        <v>0.054682320000000006</v>
      </c>
      <c r="K19" s="449">
        <v>0.128</v>
      </c>
      <c r="L19" s="401">
        <f t="shared" si="2"/>
        <v>349.966848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2</v>
      </c>
      <c r="C20" s="420" t="s">
        <v>761</v>
      </c>
      <c r="D20" s="398" t="s">
        <v>251</v>
      </c>
      <c r="E20" s="400" t="s">
        <v>252</v>
      </c>
      <c r="F20" s="401">
        <v>2088</v>
      </c>
      <c r="G20" s="402"/>
      <c r="H20" s="402">
        <f t="shared" si="0"/>
        <v>0</v>
      </c>
      <c r="I20" s="449">
        <v>4E-05</v>
      </c>
      <c r="J20" s="401">
        <f t="shared" si="1"/>
        <v>0.08352000000000001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2</v>
      </c>
      <c r="C21" s="420" t="s">
        <v>762</v>
      </c>
      <c r="D21" s="398" t="s">
        <v>253</v>
      </c>
      <c r="E21" s="400" t="s">
        <v>254</v>
      </c>
      <c r="F21" s="401">
        <v>87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2</v>
      </c>
      <c r="C22" s="420" t="s">
        <v>763</v>
      </c>
      <c r="D22" s="398" t="s">
        <v>255</v>
      </c>
      <c r="E22" s="400" t="s">
        <v>256</v>
      </c>
      <c r="F22" s="401">
        <v>20.4</v>
      </c>
      <c r="G22" s="402"/>
      <c r="H22" s="402">
        <f t="shared" si="0"/>
        <v>0</v>
      </c>
      <c r="I22" s="449">
        <v>0.00868</v>
      </c>
      <c r="J22" s="401">
        <f t="shared" si="1"/>
        <v>0.17707199999999998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24.75" customHeight="1">
      <c r="A23" s="400" t="s">
        <v>157</v>
      </c>
      <c r="B23" s="408">
        <v>2</v>
      </c>
      <c r="C23" s="419" t="s">
        <v>764</v>
      </c>
      <c r="D23" s="451" t="s">
        <v>312</v>
      </c>
      <c r="E23" s="400" t="s">
        <v>256</v>
      </c>
      <c r="F23" s="401">
        <v>15.6</v>
      </c>
      <c r="G23" s="402"/>
      <c r="H23" s="402">
        <f t="shared" si="0"/>
        <v>0</v>
      </c>
      <c r="I23" s="449">
        <v>0.01269</v>
      </c>
      <c r="J23" s="401">
        <f t="shared" si="1"/>
        <v>0.197964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2</v>
      </c>
      <c r="C24" s="397">
        <v>119001421</v>
      </c>
      <c r="D24" s="398" t="s">
        <v>313</v>
      </c>
      <c r="E24" s="400" t="s">
        <v>256</v>
      </c>
      <c r="F24" s="401">
        <v>7.2</v>
      </c>
      <c r="G24" s="402"/>
      <c r="H24" s="402">
        <f t="shared" si="0"/>
        <v>0</v>
      </c>
      <c r="I24" s="449">
        <v>0.0369</v>
      </c>
      <c r="J24" s="401">
        <f t="shared" si="1"/>
        <v>0.26568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169</v>
      </c>
      <c r="B25" s="408">
        <v>2</v>
      </c>
      <c r="C25" s="419" t="s">
        <v>788</v>
      </c>
      <c r="D25" s="398" t="s">
        <v>257</v>
      </c>
      <c r="E25" s="400" t="s">
        <v>258</v>
      </c>
      <c r="F25" s="401">
        <v>2166.166</v>
      </c>
      <c r="G25" s="402"/>
      <c r="H25" s="402">
        <f t="shared" si="0"/>
        <v>0</v>
      </c>
      <c r="I25" s="449">
        <v>0</v>
      </c>
      <c r="J25" s="401">
        <f t="shared" si="1"/>
        <v>0</v>
      </c>
      <c r="K25" s="449">
        <v>0</v>
      </c>
      <c r="L25" s="401">
        <f t="shared" si="2"/>
        <v>0</v>
      </c>
      <c r="M25" s="450">
        <f t="shared" si="3"/>
        <v>21</v>
      </c>
      <c r="N25" s="334">
        <v>4</v>
      </c>
      <c r="O25" s="196" t="s">
        <v>161</v>
      </c>
    </row>
    <row r="26" spans="1:15" s="196" customFormat="1" ht="13.5" customHeight="1">
      <c r="A26" s="400" t="s">
        <v>174</v>
      </c>
      <c r="B26" s="408">
        <v>2</v>
      </c>
      <c r="C26" s="420" t="s">
        <v>767</v>
      </c>
      <c r="D26" s="398" t="s">
        <v>259</v>
      </c>
      <c r="E26" s="400" t="s">
        <v>258</v>
      </c>
      <c r="F26" s="401">
        <v>2166.166</v>
      </c>
      <c r="G26" s="402"/>
      <c r="H26" s="402">
        <f t="shared" si="0"/>
        <v>0</v>
      </c>
      <c r="I26" s="449">
        <v>0</v>
      </c>
      <c r="J26" s="401">
        <f t="shared" si="1"/>
        <v>0</v>
      </c>
      <c r="K26" s="449">
        <v>0</v>
      </c>
      <c r="L26" s="401">
        <f t="shared" si="2"/>
        <v>0</v>
      </c>
      <c r="M26" s="450">
        <f t="shared" si="3"/>
        <v>21</v>
      </c>
      <c r="N26" s="334">
        <v>4</v>
      </c>
      <c r="O26" s="196" t="s">
        <v>161</v>
      </c>
    </row>
    <row r="27" spans="1:15" s="196" customFormat="1" ht="13.5" customHeight="1">
      <c r="A27" s="400" t="s">
        <v>186</v>
      </c>
      <c r="B27" s="408">
        <v>2</v>
      </c>
      <c r="C27" s="420" t="s">
        <v>768</v>
      </c>
      <c r="D27" s="398" t="s">
        <v>260</v>
      </c>
      <c r="E27" s="400" t="s">
        <v>247</v>
      </c>
      <c r="F27" s="401">
        <v>3865.046</v>
      </c>
      <c r="G27" s="402"/>
      <c r="H27" s="402">
        <f t="shared" si="0"/>
        <v>0</v>
      </c>
      <c r="I27" s="449">
        <v>0.00201</v>
      </c>
      <c r="J27" s="401">
        <f t="shared" si="1"/>
        <v>7.7687424599999995</v>
      </c>
      <c r="K27" s="449">
        <v>0</v>
      </c>
      <c r="L27" s="401">
        <f t="shared" si="2"/>
        <v>0</v>
      </c>
      <c r="M27" s="450">
        <f t="shared" si="3"/>
        <v>21</v>
      </c>
      <c r="N27" s="334">
        <v>4</v>
      </c>
      <c r="O27" s="196" t="s">
        <v>161</v>
      </c>
    </row>
    <row r="28" spans="1:15" s="84" customFormat="1" ht="12.75" customHeight="1">
      <c r="A28" s="422" t="s">
        <v>159</v>
      </c>
      <c r="B28" s="423">
        <v>2</v>
      </c>
      <c r="C28" s="424" t="s">
        <v>984</v>
      </c>
      <c r="D28" s="425" t="s">
        <v>261</v>
      </c>
      <c r="E28" s="426" t="s">
        <v>247</v>
      </c>
      <c r="F28" s="427">
        <v>3865.046</v>
      </c>
      <c r="G28" s="428"/>
      <c r="H28" s="428">
        <f t="shared" si="0"/>
        <v>0</v>
      </c>
      <c r="I28" s="429">
        <v>0</v>
      </c>
      <c r="J28" s="427">
        <f t="shared" si="1"/>
        <v>0</v>
      </c>
      <c r="K28" s="429">
        <v>0</v>
      </c>
      <c r="L28" s="427">
        <f t="shared" si="2"/>
        <v>0</v>
      </c>
      <c r="M28" s="430">
        <v>20</v>
      </c>
      <c r="N28" s="431">
        <v>4</v>
      </c>
      <c r="O28" s="84" t="s">
        <v>161</v>
      </c>
    </row>
    <row r="29" spans="1:15" s="196" customFormat="1" ht="13.5" customHeight="1">
      <c r="A29" s="400" t="s">
        <v>165</v>
      </c>
      <c r="B29" s="408">
        <v>2</v>
      </c>
      <c r="C29" s="420" t="s">
        <v>770</v>
      </c>
      <c r="D29" s="398" t="s">
        <v>262</v>
      </c>
      <c r="E29" s="400" t="s">
        <v>258</v>
      </c>
      <c r="F29" s="401">
        <v>1119.621</v>
      </c>
      <c r="G29" s="402"/>
      <c r="H29" s="402">
        <f t="shared" si="0"/>
        <v>0</v>
      </c>
      <c r="I29" s="449">
        <v>0</v>
      </c>
      <c r="J29" s="401">
        <f t="shared" si="1"/>
        <v>0</v>
      </c>
      <c r="K29" s="449">
        <v>0</v>
      </c>
      <c r="L29" s="401">
        <f t="shared" si="2"/>
        <v>0</v>
      </c>
      <c r="M29" s="450">
        <f aca="true" t="shared" si="4" ref="M29:M34">$M$17</f>
        <v>21</v>
      </c>
      <c r="N29" s="334">
        <v>4</v>
      </c>
      <c r="O29" s="196" t="s">
        <v>161</v>
      </c>
    </row>
    <row r="30" spans="1:15" s="196" customFormat="1" ht="24.75" customHeight="1">
      <c r="A30" s="400" t="s">
        <v>171</v>
      </c>
      <c r="B30" s="408">
        <v>2</v>
      </c>
      <c r="C30" s="420" t="s">
        <v>771</v>
      </c>
      <c r="D30" s="451" t="s">
        <v>263</v>
      </c>
      <c r="E30" s="400" t="s">
        <v>258</v>
      </c>
      <c r="F30" s="401">
        <v>2166.166</v>
      </c>
      <c r="G30" s="402"/>
      <c r="H30" s="402">
        <f t="shared" si="0"/>
        <v>0</v>
      </c>
      <c r="I30" s="449">
        <v>0</v>
      </c>
      <c r="J30" s="401">
        <f t="shared" si="1"/>
        <v>0</v>
      </c>
      <c r="K30" s="449">
        <v>0</v>
      </c>
      <c r="L30" s="401">
        <f t="shared" si="2"/>
        <v>0</v>
      </c>
      <c r="M30" s="450">
        <f t="shared" si="4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8">
        <v>2</v>
      </c>
      <c r="C31" s="419" t="s">
        <v>772</v>
      </c>
      <c r="D31" s="398" t="s">
        <v>264</v>
      </c>
      <c r="E31" s="400" t="s">
        <v>258</v>
      </c>
      <c r="F31" s="401">
        <v>2166.166</v>
      </c>
      <c r="G31" s="402"/>
      <c r="H31" s="402">
        <f t="shared" si="0"/>
        <v>0</v>
      </c>
      <c r="I31" s="449">
        <v>0</v>
      </c>
      <c r="J31" s="401">
        <f t="shared" si="1"/>
        <v>0</v>
      </c>
      <c r="K31" s="449">
        <v>0</v>
      </c>
      <c r="L31" s="401">
        <f t="shared" si="2"/>
        <v>0</v>
      </c>
      <c r="M31" s="450">
        <f t="shared" si="4"/>
        <v>21</v>
      </c>
      <c r="N31" s="334">
        <v>4</v>
      </c>
      <c r="O31" s="196" t="s">
        <v>161</v>
      </c>
    </row>
    <row r="32" spans="1:15" s="196" customFormat="1" ht="13.5" customHeight="1">
      <c r="A32" s="400" t="s">
        <v>179</v>
      </c>
      <c r="B32" s="408">
        <v>2</v>
      </c>
      <c r="C32" s="419" t="s">
        <v>774</v>
      </c>
      <c r="D32" s="398" t="s">
        <v>265</v>
      </c>
      <c r="E32" s="400" t="s">
        <v>258</v>
      </c>
      <c r="F32" s="401">
        <v>1622.141</v>
      </c>
      <c r="G32" s="402"/>
      <c r="H32" s="402">
        <f t="shared" si="0"/>
        <v>0</v>
      </c>
      <c r="I32" s="449">
        <v>0</v>
      </c>
      <c r="J32" s="401">
        <f t="shared" si="1"/>
        <v>0</v>
      </c>
      <c r="K32" s="449">
        <v>0</v>
      </c>
      <c r="L32" s="401">
        <f t="shared" si="2"/>
        <v>0</v>
      </c>
      <c r="M32" s="450">
        <f t="shared" si="4"/>
        <v>21</v>
      </c>
      <c r="N32" s="334">
        <v>4</v>
      </c>
      <c r="O32" s="196" t="s">
        <v>161</v>
      </c>
    </row>
    <row r="33" spans="1:15" s="196" customFormat="1" ht="13.5" customHeight="1">
      <c r="A33" s="400" t="s">
        <v>182</v>
      </c>
      <c r="B33" s="452">
        <v>2</v>
      </c>
      <c r="C33" s="419" t="s">
        <v>775</v>
      </c>
      <c r="D33" s="398" t="s">
        <v>267</v>
      </c>
      <c r="E33" s="400" t="s">
        <v>268</v>
      </c>
      <c r="F33" s="401">
        <v>2270.997</v>
      </c>
      <c r="G33" s="402"/>
      <c r="H33" s="402">
        <f t="shared" si="0"/>
        <v>0</v>
      </c>
      <c r="I33" s="449">
        <v>1</v>
      </c>
      <c r="J33" s="401">
        <f t="shared" si="1"/>
        <v>2270.997</v>
      </c>
      <c r="K33" s="449">
        <v>0</v>
      </c>
      <c r="L33" s="401">
        <f t="shared" si="2"/>
        <v>0</v>
      </c>
      <c r="M33" s="450">
        <f t="shared" si="4"/>
        <v>21</v>
      </c>
      <c r="N33" s="336">
        <v>8</v>
      </c>
      <c r="O33" s="335" t="s">
        <v>161</v>
      </c>
    </row>
    <row r="34" spans="1:15" s="196" customFormat="1" ht="24.75" customHeight="1">
      <c r="A34" s="400" t="s">
        <v>188</v>
      </c>
      <c r="B34" s="415">
        <v>2</v>
      </c>
      <c r="C34" s="419" t="s">
        <v>800</v>
      </c>
      <c r="D34" s="451" t="s">
        <v>269</v>
      </c>
      <c r="E34" s="400" t="s">
        <v>258</v>
      </c>
      <c r="F34" s="401">
        <v>163.776</v>
      </c>
      <c r="G34" s="402"/>
      <c r="H34" s="402">
        <f t="shared" si="0"/>
        <v>0</v>
      </c>
      <c r="I34" s="449">
        <v>0</v>
      </c>
      <c r="J34" s="401">
        <f t="shared" si="1"/>
        <v>0</v>
      </c>
      <c r="K34" s="449">
        <v>0</v>
      </c>
      <c r="L34" s="401">
        <f t="shared" si="2"/>
        <v>0</v>
      </c>
      <c r="M34" s="450">
        <f t="shared" si="4"/>
        <v>21</v>
      </c>
      <c r="N34" s="334">
        <v>4</v>
      </c>
      <c r="O34" s="196" t="s">
        <v>161</v>
      </c>
    </row>
    <row r="35" spans="1:14" s="196" customFormat="1" ht="13.5" customHeight="1">
      <c r="A35" s="400"/>
      <c r="B35" s="403"/>
      <c r="C35" s="419"/>
      <c r="D35" s="451" t="s">
        <v>785</v>
      </c>
      <c r="E35" s="400"/>
      <c r="F35" s="401"/>
      <c r="G35" s="402"/>
      <c r="H35" s="402"/>
      <c r="I35" s="449"/>
      <c r="J35" s="401"/>
      <c r="K35" s="449"/>
      <c r="L35" s="401"/>
      <c r="M35" s="450"/>
      <c r="N35" s="334"/>
    </row>
    <row r="36" spans="1:15" s="196" customFormat="1" ht="13.5" customHeight="1">
      <c r="A36" s="400" t="s">
        <v>190</v>
      </c>
      <c r="B36" s="452">
        <v>2</v>
      </c>
      <c r="C36" s="419" t="s">
        <v>775</v>
      </c>
      <c r="D36" s="398" t="s">
        <v>506</v>
      </c>
      <c r="E36" s="400" t="s">
        <v>268</v>
      </c>
      <c r="F36" s="401">
        <v>313.631</v>
      </c>
      <c r="G36" s="402"/>
      <c r="H36" s="402">
        <f>ROUND(F36*G36,2)</f>
        <v>0</v>
      </c>
      <c r="I36" s="449">
        <v>1</v>
      </c>
      <c r="J36" s="401">
        <f>F36*I36</f>
        <v>313.631</v>
      </c>
      <c r="K36" s="449">
        <v>0</v>
      </c>
      <c r="L36" s="401">
        <f>F36*K36</f>
        <v>0</v>
      </c>
      <c r="M36" s="450">
        <f>$M$17</f>
        <v>21</v>
      </c>
      <c r="N36" s="336">
        <v>8</v>
      </c>
      <c r="O36" s="335" t="s">
        <v>161</v>
      </c>
    </row>
    <row r="37" spans="1:15" s="318" customFormat="1" ht="13.5" customHeight="1">
      <c r="A37" s="446"/>
      <c r="B37" s="404"/>
      <c r="C37" s="421"/>
      <c r="D37" s="446" t="s">
        <v>271</v>
      </c>
      <c r="E37" s="446"/>
      <c r="F37" s="446"/>
      <c r="G37" s="446"/>
      <c r="H37" s="447">
        <f>SUM(H38:H39)</f>
        <v>0</v>
      </c>
      <c r="I37" s="446"/>
      <c r="J37" s="448">
        <f>SUM(J38:J39)</f>
        <v>145.8588747</v>
      </c>
      <c r="K37" s="446"/>
      <c r="L37" s="448">
        <f>SUM(L38:L39)</f>
        <v>0</v>
      </c>
      <c r="M37" s="450"/>
      <c r="O37" s="320" t="s">
        <v>154</v>
      </c>
    </row>
    <row r="38" spans="1:15" s="196" customFormat="1" ht="13.5" customHeight="1">
      <c r="A38" s="400" t="s">
        <v>192</v>
      </c>
      <c r="B38" s="408">
        <v>2</v>
      </c>
      <c r="C38" s="420" t="s">
        <v>719</v>
      </c>
      <c r="D38" s="398" t="s">
        <v>272</v>
      </c>
      <c r="E38" s="400" t="s">
        <v>256</v>
      </c>
      <c r="F38" s="401">
        <v>621.39</v>
      </c>
      <c r="G38" s="402"/>
      <c r="H38" s="402">
        <f>ROUND(F38*G38,2)</f>
        <v>0</v>
      </c>
      <c r="I38" s="449">
        <v>0.23473</v>
      </c>
      <c r="J38" s="401">
        <f>F38*I38</f>
        <v>145.8588747</v>
      </c>
      <c r="K38" s="449">
        <v>0</v>
      </c>
      <c r="L38" s="401">
        <f>F38*K38</f>
        <v>0</v>
      </c>
      <c r="M38" s="450">
        <f>$M$17</f>
        <v>21</v>
      </c>
      <c r="N38" s="334">
        <v>4</v>
      </c>
      <c r="O38" s="196" t="s">
        <v>161</v>
      </c>
    </row>
    <row r="39" spans="1:15" s="196" customFormat="1" ht="19.5" customHeight="1">
      <c r="A39" s="400" t="s">
        <v>194</v>
      </c>
      <c r="B39" s="408">
        <v>2</v>
      </c>
      <c r="C39" s="420" t="s">
        <v>720</v>
      </c>
      <c r="D39" s="581" t="s">
        <v>401</v>
      </c>
      <c r="E39" s="400" t="s">
        <v>274</v>
      </c>
      <c r="F39" s="401">
        <v>13</v>
      </c>
      <c r="G39" s="402"/>
      <c r="H39" s="402">
        <f>ROUND(F39*G39,2)</f>
        <v>0</v>
      </c>
      <c r="I39" s="449">
        <v>0</v>
      </c>
      <c r="J39" s="401">
        <f>F39*I39</f>
        <v>0</v>
      </c>
      <c r="K39" s="449">
        <v>0</v>
      </c>
      <c r="L39" s="401">
        <f>F39*K39</f>
        <v>0</v>
      </c>
      <c r="M39" s="450">
        <f>$M$17</f>
        <v>21</v>
      </c>
      <c r="N39" s="334">
        <v>4</v>
      </c>
      <c r="O39" s="196" t="s">
        <v>161</v>
      </c>
    </row>
    <row r="40" spans="1:15" s="318" customFormat="1" ht="13.5" customHeight="1">
      <c r="A40" s="446"/>
      <c r="B40" s="404"/>
      <c r="C40" s="421"/>
      <c r="D40" s="446" t="s">
        <v>275</v>
      </c>
      <c r="E40" s="446"/>
      <c r="F40" s="446"/>
      <c r="G40" s="446"/>
      <c r="H40" s="447">
        <f>SUM(H41:H43)</f>
        <v>0</v>
      </c>
      <c r="I40" s="446"/>
      <c r="J40" s="448">
        <f>SUM(J41:J43)</f>
        <v>1.09845572</v>
      </c>
      <c r="K40" s="446"/>
      <c r="L40" s="448">
        <f>SUM(L41:L43)</f>
        <v>0</v>
      </c>
      <c r="M40" s="450"/>
      <c r="O40" s="320" t="s">
        <v>154</v>
      </c>
    </row>
    <row r="41" spans="1:15" s="196" customFormat="1" ht="13.5" customHeight="1">
      <c r="A41" s="400" t="s">
        <v>198</v>
      </c>
      <c r="B41" s="408">
        <v>2</v>
      </c>
      <c r="C41" s="420" t="s">
        <v>721</v>
      </c>
      <c r="D41" s="398" t="s">
        <v>276</v>
      </c>
      <c r="E41" s="400" t="s">
        <v>258</v>
      </c>
      <c r="F41" s="401">
        <v>59.653</v>
      </c>
      <c r="G41" s="402"/>
      <c r="H41" s="402">
        <f>ROUND(F41*G41,2)</f>
        <v>0</v>
      </c>
      <c r="I41" s="449">
        <v>0</v>
      </c>
      <c r="J41" s="401">
        <f>F41*I41</f>
        <v>0</v>
      </c>
      <c r="K41" s="449">
        <v>0</v>
      </c>
      <c r="L41" s="401">
        <f>F41*K41</f>
        <v>0</v>
      </c>
      <c r="M41" s="450">
        <f>$M$17</f>
        <v>21</v>
      </c>
      <c r="N41" s="334">
        <v>4</v>
      </c>
      <c r="O41" s="196" t="s">
        <v>161</v>
      </c>
    </row>
    <row r="42" spans="1:15" s="196" customFormat="1" ht="13.5" customHeight="1">
      <c r="A42" s="400" t="s">
        <v>202</v>
      </c>
      <c r="B42" s="408">
        <v>2</v>
      </c>
      <c r="C42" s="419" t="s">
        <v>789</v>
      </c>
      <c r="D42" s="398" t="s">
        <v>277</v>
      </c>
      <c r="E42" s="400" t="s">
        <v>258</v>
      </c>
      <c r="F42" s="401">
        <v>74.23</v>
      </c>
      <c r="G42" s="402"/>
      <c r="H42" s="402">
        <f>ROUND(F42*G42,2)</f>
        <v>0</v>
      </c>
      <c r="I42" s="449">
        <v>0</v>
      </c>
      <c r="J42" s="401">
        <f>F42*I42</f>
        <v>0</v>
      </c>
      <c r="K42" s="449">
        <v>0</v>
      </c>
      <c r="L42" s="401">
        <f>F42*K42</f>
        <v>0</v>
      </c>
      <c r="M42" s="450">
        <f>$M$17</f>
        <v>21</v>
      </c>
      <c r="N42" s="334">
        <v>4</v>
      </c>
      <c r="O42" s="196" t="s">
        <v>161</v>
      </c>
    </row>
    <row r="43" spans="1:15" s="196" customFormat="1" ht="13.5" customHeight="1">
      <c r="A43" s="400" t="s">
        <v>204</v>
      </c>
      <c r="B43" s="408">
        <v>2</v>
      </c>
      <c r="C43" s="420" t="s">
        <v>722</v>
      </c>
      <c r="D43" s="398" t="s">
        <v>278</v>
      </c>
      <c r="E43" s="400" t="s">
        <v>247</v>
      </c>
      <c r="F43" s="401">
        <v>173.258</v>
      </c>
      <c r="G43" s="402"/>
      <c r="H43" s="402">
        <f>ROUND(F43*G43,2)</f>
        <v>0</v>
      </c>
      <c r="I43" s="449">
        <v>0.00634</v>
      </c>
      <c r="J43" s="401">
        <f>F43*I43</f>
        <v>1.09845572</v>
      </c>
      <c r="K43" s="449">
        <v>0</v>
      </c>
      <c r="L43" s="401">
        <f>F43*K43</f>
        <v>0</v>
      </c>
      <c r="M43" s="450">
        <f>$M$17</f>
        <v>21</v>
      </c>
      <c r="N43" s="334">
        <v>4</v>
      </c>
      <c r="O43" s="196" t="s">
        <v>161</v>
      </c>
    </row>
    <row r="44" spans="1:15" s="318" customFormat="1" ht="13.5" customHeight="1">
      <c r="A44" s="446"/>
      <c r="B44" s="404"/>
      <c r="C44" s="421"/>
      <c r="D44" s="446" t="s">
        <v>279</v>
      </c>
      <c r="E44" s="446"/>
      <c r="F44" s="446"/>
      <c r="G44" s="446"/>
      <c r="H44" s="447">
        <f>SUM(H45:H49)</f>
        <v>0</v>
      </c>
      <c r="I44" s="446"/>
      <c r="J44" s="448">
        <f>SUM(J45:J49)</f>
        <v>4.4740079999999995</v>
      </c>
      <c r="K44" s="446"/>
      <c r="L44" s="448">
        <f>SUM(L45:L49)</f>
        <v>0</v>
      </c>
      <c r="M44" s="450"/>
      <c r="O44" s="320" t="s">
        <v>154</v>
      </c>
    </row>
    <row r="45" spans="1:15" s="196" customFormat="1" ht="13.5" customHeight="1">
      <c r="A45" s="400" t="s">
        <v>205</v>
      </c>
      <c r="B45" s="408">
        <v>2</v>
      </c>
      <c r="C45" s="420" t="s">
        <v>723</v>
      </c>
      <c r="D45" s="398" t="s">
        <v>280</v>
      </c>
      <c r="E45" s="400" t="s">
        <v>247</v>
      </c>
      <c r="F45" s="401">
        <v>745.668</v>
      </c>
      <c r="G45" s="402"/>
      <c r="H45" s="402">
        <f>ROUND(F45*G45,2)</f>
        <v>0</v>
      </c>
      <c r="I45" s="449">
        <v>0</v>
      </c>
      <c r="J45" s="401">
        <f>F45*I45</f>
        <v>0</v>
      </c>
      <c r="K45" s="449">
        <v>0</v>
      </c>
      <c r="L45" s="401">
        <f>F45*K45</f>
        <v>0</v>
      </c>
      <c r="M45" s="450">
        <f>$M$17</f>
        <v>21</v>
      </c>
      <c r="N45" s="334">
        <v>4</v>
      </c>
      <c r="O45" s="196" t="s">
        <v>161</v>
      </c>
    </row>
    <row r="46" spans="1:15" s="196" customFormat="1" ht="24.75" customHeight="1">
      <c r="A46" s="400" t="s">
        <v>209</v>
      </c>
      <c r="B46" s="408">
        <v>2</v>
      </c>
      <c r="C46" s="420" t="s">
        <v>724</v>
      </c>
      <c r="D46" s="451" t="s">
        <v>281</v>
      </c>
      <c r="E46" s="400" t="s">
        <v>247</v>
      </c>
      <c r="F46" s="401">
        <v>745.668</v>
      </c>
      <c r="G46" s="402"/>
      <c r="H46" s="402">
        <f>ROUND(F46*G46,2)</f>
        <v>0</v>
      </c>
      <c r="I46" s="449">
        <v>0</v>
      </c>
      <c r="J46" s="401">
        <f>F46*I46</f>
        <v>0</v>
      </c>
      <c r="K46" s="449">
        <v>0</v>
      </c>
      <c r="L46" s="401">
        <f>F46*K46</f>
        <v>0</v>
      </c>
      <c r="M46" s="450">
        <f>$M$17</f>
        <v>21</v>
      </c>
      <c r="N46" s="334">
        <v>4</v>
      </c>
      <c r="O46" s="196" t="s">
        <v>161</v>
      </c>
    </row>
    <row r="47" spans="1:15" s="196" customFormat="1" ht="24.75" customHeight="1">
      <c r="A47" s="400" t="s">
        <v>211</v>
      </c>
      <c r="B47" s="408">
        <v>2</v>
      </c>
      <c r="C47" s="420" t="s">
        <v>725</v>
      </c>
      <c r="D47" s="451" t="s">
        <v>282</v>
      </c>
      <c r="E47" s="400" t="s">
        <v>247</v>
      </c>
      <c r="F47" s="401">
        <v>1367.058</v>
      </c>
      <c r="G47" s="402"/>
      <c r="H47" s="402">
        <f>ROUND(F47*G47,2)</f>
        <v>0</v>
      </c>
      <c r="I47" s="449">
        <v>0</v>
      </c>
      <c r="J47" s="401">
        <f>F47*I47</f>
        <v>0</v>
      </c>
      <c r="K47" s="449">
        <v>0</v>
      </c>
      <c r="L47" s="401">
        <f>F47*K47</f>
        <v>0</v>
      </c>
      <c r="M47" s="450">
        <f>$M$17</f>
        <v>21</v>
      </c>
      <c r="N47" s="334">
        <v>4</v>
      </c>
      <c r="O47" s="196" t="s">
        <v>161</v>
      </c>
    </row>
    <row r="48" spans="1:15" s="196" customFormat="1" ht="24.75" customHeight="1">
      <c r="A48" s="400" t="s">
        <v>213</v>
      </c>
      <c r="B48" s="408">
        <v>2</v>
      </c>
      <c r="C48" s="420" t="s">
        <v>726</v>
      </c>
      <c r="D48" s="451" t="s">
        <v>283</v>
      </c>
      <c r="E48" s="400" t="s">
        <v>247</v>
      </c>
      <c r="F48" s="401">
        <v>1367.058</v>
      </c>
      <c r="G48" s="402"/>
      <c r="H48" s="402">
        <f>ROUND(F48*G48,2)</f>
        <v>0</v>
      </c>
      <c r="I48" s="449">
        <v>0</v>
      </c>
      <c r="J48" s="401">
        <f>F48*I48</f>
        <v>0</v>
      </c>
      <c r="K48" s="449">
        <v>0</v>
      </c>
      <c r="L48" s="401">
        <f>F48*K48</f>
        <v>0</v>
      </c>
      <c r="M48" s="450">
        <f>$M$17</f>
        <v>21</v>
      </c>
      <c r="N48" s="334">
        <v>4</v>
      </c>
      <c r="O48" s="196" t="s">
        <v>161</v>
      </c>
    </row>
    <row r="49" spans="1:15" s="196" customFormat="1" ht="13.5" customHeight="1">
      <c r="A49" s="400" t="s">
        <v>287</v>
      </c>
      <c r="B49" s="408">
        <v>2</v>
      </c>
      <c r="C49" s="420" t="s">
        <v>727</v>
      </c>
      <c r="D49" s="398" t="s">
        <v>284</v>
      </c>
      <c r="E49" s="400" t="s">
        <v>256</v>
      </c>
      <c r="F49" s="401">
        <v>1242.78</v>
      </c>
      <c r="G49" s="402"/>
      <c r="H49" s="402">
        <f>ROUND(F49*G49,2)</f>
        <v>0</v>
      </c>
      <c r="I49" s="449">
        <v>0.0036</v>
      </c>
      <c r="J49" s="401">
        <f>F49*I49</f>
        <v>4.4740079999999995</v>
      </c>
      <c r="K49" s="449">
        <v>0</v>
      </c>
      <c r="L49" s="401">
        <f>F49*K49</f>
        <v>0</v>
      </c>
      <c r="M49" s="450">
        <f>$M$17</f>
        <v>21</v>
      </c>
      <c r="N49" s="334">
        <v>4</v>
      </c>
      <c r="O49" s="196" t="s">
        <v>161</v>
      </c>
    </row>
    <row r="50" spans="1:15" s="318" customFormat="1" ht="13.5" customHeight="1">
      <c r="A50" s="446"/>
      <c r="B50" s="404"/>
      <c r="C50" s="421"/>
      <c r="D50" s="446" t="s">
        <v>285</v>
      </c>
      <c r="E50" s="446"/>
      <c r="F50" s="446"/>
      <c r="G50" s="446"/>
      <c r="H50" s="447">
        <f>SUM(H51:H68)</f>
        <v>0</v>
      </c>
      <c r="I50" s="446"/>
      <c r="J50" s="448">
        <f>SUM(J51:J68)</f>
        <v>51.12571972</v>
      </c>
      <c r="K50" s="446"/>
      <c r="L50" s="448">
        <f>SUM(L51:L68)</f>
        <v>0</v>
      </c>
      <c r="M50" s="450"/>
      <c r="O50" s="320" t="s">
        <v>154</v>
      </c>
    </row>
    <row r="51" spans="1:15" s="196" customFormat="1" ht="13.5" customHeight="1">
      <c r="A51" s="400" t="s">
        <v>289</v>
      </c>
      <c r="B51" s="408">
        <v>2</v>
      </c>
      <c r="C51" s="419" t="s">
        <v>728</v>
      </c>
      <c r="D51" s="398" t="s">
        <v>286</v>
      </c>
      <c r="E51" s="400" t="s">
        <v>256</v>
      </c>
      <c r="F51" s="401">
        <v>621.39</v>
      </c>
      <c r="G51" s="402"/>
      <c r="H51" s="402">
        <f aca="true" t="shared" si="5" ref="H51:H68">ROUND(F51*G51,2)</f>
        <v>0</v>
      </c>
      <c r="I51" s="449">
        <v>0</v>
      </c>
      <c r="J51" s="401">
        <f aca="true" t="shared" si="6" ref="J51:J68">F51*I51</f>
        <v>0</v>
      </c>
      <c r="K51" s="449">
        <v>0</v>
      </c>
      <c r="L51" s="401">
        <f aca="true" t="shared" si="7" ref="L51:L68">F51*K51</f>
        <v>0</v>
      </c>
      <c r="M51" s="450">
        <f aca="true" t="shared" si="8" ref="M51:M68">$M$17</f>
        <v>21</v>
      </c>
      <c r="N51" s="334">
        <v>4</v>
      </c>
      <c r="O51" s="196" t="s">
        <v>161</v>
      </c>
    </row>
    <row r="52" spans="1:15" s="196" customFormat="1" ht="24.75" customHeight="1">
      <c r="A52" s="400" t="s">
        <v>292</v>
      </c>
      <c r="B52" s="408">
        <v>2</v>
      </c>
      <c r="C52" s="397">
        <v>831372121</v>
      </c>
      <c r="D52" s="451" t="s">
        <v>314</v>
      </c>
      <c r="E52" s="400" t="s">
        <v>256</v>
      </c>
      <c r="F52" s="401">
        <v>621.39</v>
      </c>
      <c r="G52" s="402"/>
      <c r="H52" s="402">
        <f t="shared" si="5"/>
        <v>0</v>
      </c>
      <c r="I52" s="449">
        <v>8E-05</v>
      </c>
      <c r="J52" s="401">
        <f t="shared" si="6"/>
        <v>0.049711200000000004</v>
      </c>
      <c r="K52" s="449">
        <v>0</v>
      </c>
      <c r="L52" s="401">
        <f t="shared" si="7"/>
        <v>0</v>
      </c>
      <c r="M52" s="450">
        <f t="shared" si="8"/>
        <v>21</v>
      </c>
      <c r="N52" s="334">
        <v>4</v>
      </c>
      <c r="O52" s="196" t="s">
        <v>161</v>
      </c>
    </row>
    <row r="53" spans="1:15" s="196" customFormat="1" ht="13.5" customHeight="1">
      <c r="A53" s="400" t="s">
        <v>294</v>
      </c>
      <c r="B53" s="452">
        <v>2</v>
      </c>
      <c r="C53" s="466">
        <v>597107110</v>
      </c>
      <c r="D53" s="398" t="s">
        <v>315</v>
      </c>
      <c r="E53" s="400" t="s">
        <v>256</v>
      </c>
      <c r="F53" s="401">
        <v>630.711</v>
      </c>
      <c r="G53" s="402"/>
      <c r="H53" s="402">
        <f t="shared" si="5"/>
        <v>0</v>
      </c>
      <c r="I53" s="449">
        <v>0.072</v>
      </c>
      <c r="J53" s="401">
        <f t="shared" si="6"/>
        <v>45.411192</v>
      </c>
      <c r="K53" s="449">
        <v>0</v>
      </c>
      <c r="L53" s="401">
        <f t="shared" si="7"/>
        <v>0</v>
      </c>
      <c r="M53" s="450">
        <f t="shared" si="8"/>
        <v>21</v>
      </c>
      <c r="N53" s="336">
        <v>8</v>
      </c>
      <c r="O53" s="335" t="s">
        <v>161</v>
      </c>
    </row>
    <row r="54" spans="1:15" s="196" customFormat="1" ht="24.75" customHeight="1">
      <c r="A54" s="400" t="s">
        <v>296</v>
      </c>
      <c r="B54" s="408">
        <v>2</v>
      </c>
      <c r="C54" s="419" t="s">
        <v>731</v>
      </c>
      <c r="D54" s="451" t="s">
        <v>316</v>
      </c>
      <c r="E54" s="400" t="s">
        <v>317</v>
      </c>
      <c r="F54" s="401">
        <v>26</v>
      </c>
      <c r="G54" s="402"/>
      <c r="H54" s="402">
        <f t="shared" si="5"/>
        <v>0</v>
      </c>
      <c r="I54" s="449">
        <v>7E-05</v>
      </c>
      <c r="J54" s="401">
        <f t="shared" si="6"/>
        <v>0.0018199999999999998</v>
      </c>
      <c r="K54" s="449">
        <v>0</v>
      </c>
      <c r="L54" s="401">
        <f t="shared" si="7"/>
        <v>0</v>
      </c>
      <c r="M54" s="450">
        <f t="shared" si="8"/>
        <v>21</v>
      </c>
      <c r="N54" s="334">
        <v>4</v>
      </c>
      <c r="O54" s="196" t="s">
        <v>161</v>
      </c>
    </row>
    <row r="55" spans="1:15" s="196" customFormat="1" ht="13.5" customHeight="1">
      <c r="A55" s="400" t="s">
        <v>298</v>
      </c>
      <c r="B55" s="452">
        <v>2</v>
      </c>
      <c r="C55" s="419" t="s">
        <v>732</v>
      </c>
      <c r="D55" s="398" t="s">
        <v>318</v>
      </c>
      <c r="E55" s="400" t="s">
        <v>317</v>
      </c>
      <c r="F55" s="401">
        <v>26</v>
      </c>
      <c r="G55" s="402"/>
      <c r="H55" s="402">
        <f t="shared" si="5"/>
        <v>0</v>
      </c>
      <c r="I55" s="449">
        <v>0.003</v>
      </c>
      <c r="J55" s="401">
        <f t="shared" si="6"/>
        <v>0.078</v>
      </c>
      <c r="K55" s="449">
        <v>0</v>
      </c>
      <c r="L55" s="401">
        <f t="shared" si="7"/>
        <v>0</v>
      </c>
      <c r="M55" s="450">
        <f t="shared" si="8"/>
        <v>21</v>
      </c>
      <c r="N55" s="336">
        <v>8</v>
      </c>
      <c r="O55" s="335" t="s">
        <v>161</v>
      </c>
    </row>
    <row r="56" spans="1:15" s="196" customFormat="1" ht="24.75" customHeight="1">
      <c r="A56" s="400" t="s">
        <v>302</v>
      </c>
      <c r="B56" s="408">
        <v>2</v>
      </c>
      <c r="C56" s="397">
        <v>837352221</v>
      </c>
      <c r="D56" s="451" t="s">
        <v>319</v>
      </c>
      <c r="E56" s="400" t="s">
        <v>317</v>
      </c>
      <c r="F56" s="401">
        <v>7</v>
      </c>
      <c r="G56" s="402"/>
      <c r="H56" s="402">
        <f t="shared" si="5"/>
        <v>0</v>
      </c>
      <c r="I56" s="449">
        <v>7E-05</v>
      </c>
      <c r="J56" s="401">
        <f t="shared" si="6"/>
        <v>0.00049</v>
      </c>
      <c r="K56" s="449">
        <v>0</v>
      </c>
      <c r="L56" s="401">
        <f t="shared" si="7"/>
        <v>0</v>
      </c>
      <c r="M56" s="450">
        <f t="shared" si="8"/>
        <v>21</v>
      </c>
      <c r="N56" s="334">
        <v>4</v>
      </c>
      <c r="O56" s="196" t="s">
        <v>161</v>
      </c>
    </row>
    <row r="57" spans="1:15" s="196" customFormat="1" ht="13.5" customHeight="1">
      <c r="A57" s="400" t="s">
        <v>307</v>
      </c>
      <c r="B57" s="452">
        <v>2</v>
      </c>
      <c r="C57" s="466">
        <v>597118530</v>
      </c>
      <c r="D57" s="398" t="s">
        <v>320</v>
      </c>
      <c r="E57" s="400" t="s">
        <v>317</v>
      </c>
      <c r="F57" s="401">
        <v>7</v>
      </c>
      <c r="G57" s="402"/>
      <c r="H57" s="402">
        <f t="shared" si="5"/>
        <v>0</v>
      </c>
      <c r="I57" s="449">
        <v>0.004</v>
      </c>
      <c r="J57" s="401">
        <f t="shared" si="6"/>
        <v>0.028</v>
      </c>
      <c r="K57" s="449">
        <v>0</v>
      </c>
      <c r="L57" s="401">
        <f t="shared" si="7"/>
        <v>0</v>
      </c>
      <c r="M57" s="450">
        <f t="shared" si="8"/>
        <v>21</v>
      </c>
      <c r="N57" s="336">
        <v>8</v>
      </c>
      <c r="O57" s="335" t="s">
        <v>161</v>
      </c>
    </row>
    <row r="58" spans="1:15" s="196" customFormat="1" ht="24.75" customHeight="1">
      <c r="A58" s="400" t="s">
        <v>310</v>
      </c>
      <c r="B58" s="408">
        <v>2</v>
      </c>
      <c r="C58" s="419" t="s">
        <v>733</v>
      </c>
      <c r="D58" s="451" t="s">
        <v>321</v>
      </c>
      <c r="E58" s="400" t="s">
        <v>317</v>
      </c>
      <c r="F58" s="401">
        <v>22</v>
      </c>
      <c r="G58" s="402"/>
      <c r="H58" s="402">
        <f t="shared" si="5"/>
        <v>0</v>
      </c>
      <c r="I58" s="449">
        <v>0.00016</v>
      </c>
      <c r="J58" s="401">
        <f t="shared" si="6"/>
        <v>0.00352</v>
      </c>
      <c r="K58" s="449">
        <v>0</v>
      </c>
      <c r="L58" s="401">
        <f t="shared" si="7"/>
        <v>0</v>
      </c>
      <c r="M58" s="450">
        <f t="shared" si="8"/>
        <v>21</v>
      </c>
      <c r="N58" s="334">
        <v>4</v>
      </c>
      <c r="O58" s="196" t="s">
        <v>161</v>
      </c>
    </row>
    <row r="59" spans="1:15" s="196" customFormat="1" ht="24.75" customHeight="1">
      <c r="A59" s="400" t="s">
        <v>322</v>
      </c>
      <c r="B59" s="452">
        <v>2</v>
      </c>
      <c r="C59" s="466">
        <v>597117700</v>
      </c>
      <c r="D59" s="451" t="s">
        <v>323</v>
      </c>
      <c r="E59" s="400" t="s">
        <v>317</v>
      </c>
      <c r="F59" s="401">
        <v>17</v>
      </c>
      <c r="G59" s="402"/>
      <c r="H59" s="402">
        <f t="shared" si="5"/>
        <v>0</v>
      </c>
      <c r="I59" s="449">
        <v>0.073</v>
      </c>
      <c r="J59" s="401">
        <f t="shared" si="6"/>
        <v>1.2409999999999999</v>
      </c>
      <c r="K59" s="449">
        <v>0</v>
      </c>
      <c r="L59" s="401">
        <f t="shared" si="7"/>
        <v>0</v>
      </c>
      <c r="M59" s="450">
        <f t="shared" si="8"/>
        <v>21</v>
      </c>
      <c r="N59" s="336">
        <v>8</v>
      </c>
      <c r="O59" s="335" t="s">
        <v>161</v>
      </c>
    </row>
    <row r="60" spans="1:15" s="196" customFormat="1" ht="24.75" customHeight="1">
      <c r="A60" s="400" t="s">
        <v>324</v>
      </c>
      <c r="B60" s="452">
        <v>2</v>
      </c>
      <c r="C60" s="466">
        <v>5971177.12</v>
      </c>
      <c r="D60" s="451" t="s">
        <v>325</v>
      </c>
      <c r="E60" s="400" t="s">
        <v>317</v>
      </c>
      <c r="F60" s="401">
        <v>5</v>
      </c>
      <c r="G60" s="402"/>
      <c r="H60" s="402">
        <f t="shared" si="5"/>
        <v>0</v>
      </c>
      <c r="I60" s="449">
        <v>0.06</v>
      </c>
      <c r="J60" s="401">
        <f t="shared" si="6"/>
        <v>0.3</v>
      </c>
      <c r="K60" s="449">
        <v>0</v>
      </c>
      <c r="L60" s="401">
        <f t="shared" si="7"/>
        <v>0</v>
      </c>
      <c r="M60" s="450">
        <f t="shared" si="8"/>
        <v>21</v>
      </c>
      <c r="N60" s="336">
        <v>8</v>
      </c>
      <c r="O60" s="335" t="s">
        <v>161</v>
      </c>
    </row>
    <row r="61" spans="1:15" s="196" customFormat="1" ht="24.75" customHeight="1">
      <c r="A61" s="400" t="s">
        <v>326</v>
      </c>
      <c r="B61" s="408">
        <v>2</v>
      </c>
      <c r="C61" s="419" t="s">
        <v>736</v>
      </c>
      <c r="D61" s="451" t="s">
        <v>327</v>
      </c>
      <c r="E61" s="400" t="s">
        <v>274</v>
      </c>
      <c r="F61" s="401">
        <v>7</v>
      </c>
      <c r="G61" s="402"/>
      <c r="H61" s="402">
        <f t="shared" si="5"/>
        <v>0</v>
      </c>
      <c r="I61" s="449">
        <v>0</v>
      </c>
      <c r="J61" s="401">
        <f t="shared" si="6"/>
        <v>0</v>
      </c>
      <c r="K61" s="449">
        <v>0</v>
      </c>
      <c r="L61" s="401">
        <f t="shared" si="7"/>
        <v>0</v>
      </c>
      <c r="M61" s="450">
        <f t="shared" si="8"/>
        <v>21</v>
      </c>
      <c r="N61" s="334">
        <v>4</v>
      </c>
      <c r="O61" s="196" t="s">
        <v>161</v>
      </c>
    </row>
    <row r="62" spans="1:15" s="196" customFormat="1" ht="24.75" customHeight="1">
      <c r="A62" s="400" t="s">
        <v>328</v>
      </c>
      <c r="B62" s="408">
        <v>2</v>
      </c>
      <c r="C62" s="419" t="s">
        <v>737</v>
      </c>
      <c r="D62" s="451" t="s">
        <v>329</v>
      </c>
      <c r="E62" s="400" t="s">
        <v>274</v>
      </c>
      <c r="F62" s="401">
        <v>2</v>
      </c>
      <c r="G62" s="402"/>
      <c r="H62" s="402">
        <f t="shared" si="5"/>
        <v>0</v>
      </c>
      <c r="I62" s="449">
        <v>0</v>
      </c>
      <c r="J62" s="401">
        <f t="shared" si="6"/>
        <v>0</v>
      </c>
      <c r="K62" s="449">
        <v>0</v>
      </c>
      <c r="L62" s="401">
        <f t="shared" si="7"/>
        <v>0</v>
      </c>
      <c r="M62" s="450">
        <f t="shared" si="8"/>
        <v>21</v>
      </c>
      <c r="N62" s="334">
        <v>4</v>
      </c>
      <c r="O62" s="196" t="s">
        <v>161</v>
      </c>
    </row>
    <row r="63" spans="1:15" s="196" customFormat="1" ht="24.75" customHeight="1">
      <c r="A63" s="400" t="s">
        <v>330</v>
      </c>
      <c r="B63" s="408">
        <v>2</v>
      </c>
      <c r="C63" s="397">
        <v>896233.1</v>
      </c>
      <c r="D63" s="451" t="s">
        <v>331</v>
      </c>
      <c r="E63" s="400" t="s">
        <v>274</v>
      </c>
      <c r="F63" s="401">
        <v>6</v>
      </c>
      <c r="G63" s="402"/>
      <c r="H63" s="402">
        <f t="shared" si="5"/>
        <v>0</v>
      </c>
      <c r="I63" s="449">
        <v>0</v>
      </c>
      <c r="J63" s="401">
        <f t="shared" si="6"/>
        <v>0</v>
      </c>
      <c r="K63" s="449">
        <v>0</v>
      </c>
      <c r="L63" s="401">
        <f t="shared" si="7"/>
        <v>0</v>
      </c>
      <c r="M63" s="450">
        <f t="shared" si="8"/>
        <v>21</v>
      </c>
      <c r="N63" s="334">
        <v>4</v>
      </c>
      <c r="O63" s="196" t="s">
        <v>161</v>
      </c>
    </row>
    <row r="64" spans="1:15" s="196" customFormat="1" ht="24.75" customHeight="1">
      <c r="A64" s="400" t="s">
        <v>332</v>
      </c>
      <c r="B64" s="408">
        <v>2</v>
      </c>
      <c r="C64" s="419" t="s">
        <v>739</v>
      </c>
      <c r="D64" s="451" t="s">
        <v>333</v>
      </c>
      <c r="E64" s="400" t="s">
        <v>317</v>
      </c>
      <c r="F64" s="401">
        <v>15</v>
      </c>
      <c r="G64" s="402"/>
      <c r="H64" s="402">
        <f t="shared" si="5"/>
        <v>0</v>
      </c>
      <c r="I64" s="449">
        <v>0.00702</v>
      </c>
      <c r="J64" s="401">
        <f t="shared" si="6"/>
        <v>0.1053</v>
      </c>
      <c r="K64" s="449">
        <v>0</v>
      </c>
      <c r="L64" s="401">
        <f t="shared" si="7"/>
        <v>0</v>
      </c>
      <c r="M64" s="450">
        <f t="shared" si="8"/>
        <v>21</v>
      </c>
      <c r="N64" s="334">
        <v>4</v>
      </c>
      <c r="O64" s="196" t="s">
        <v>161</v>
      </c>
    </row>
    <row r="65" spans="1:15" s="196" customFormat="1" ht="13.5" customHeight="1">
      <c r="A65" s="400" t="s">
        <v>334</v>
      </c>
      <c r="B65" s="452">
        <v>2</v>
      </c>
      <c r="C65" s="419" t="s">
        <v>740</v>
      </c>
      <c r="D65" s="398" t="s">
        <v>335</v>
      </c>
      <c r="E65" s="400" t="s">
        <v>274</v>
      </c>
      <c r="F65" s="401">
        <v>15</v>
      </c>
      <c r="G65" s="402"/>
      <c r="H65" s="402">
        <f t="shared" si="5"/>
        <v>0</v>
      </c>
      <c r="I65" s="449">
        <v>0.174</v>
      </c>
      <c r="J65" s="401">
        <f t="shared" si="6"/>
        <v>2.61</v>
      </c>
      <c r="K65" s="449">
        <v>0</v>
      </c>
      <c r="L65" s="401">
        <f t="shared" si="7"/>
        <v>0</v>
      </c>
      <c r="M65" s="450">
        <f t="shared" si="8"/>
        <v>21</v>
      </c>
      <c r="N65" s="336">
        <v>8</v>
      </c>
      <c r="O65" s="335" t="s">
        <v>161</v>
      </c>
    </row>
    <row r="66" spans="1:15" s="196" customFormat="1" ht="24.75" customHeight="1">
      <c r="A66" s="400" t="s">
        <v>336</v>
      </c>
      <c r="B66" s="408">
        <v>2</v>
      </c>
      <c r="C66" s="419" t="s">
        <v>743</v>
      </c>
      <c r="D66" s="451" t="s">
        <v>337</v>
      </c>
      <c r="E66" s="400" t="s">
        <v>258</v>
      </c>
      <c r="F66" s="401">
        <v>172.645</v>
      </c>
      <c r="G66" s="402"/>
      <c r="H66" s="402">
        <f t="shared" si="5"/>
        <v>0</v>
      </c>
      <c r="I66" s="449">
        <v>0</v>
      </c>
      <c r="J66" s="401">
        <f t="shared" si="6"/>
        <v>0</v>
      </c>
      <c r="K66" s="449">
        <v>0</v>
      </c>
      <c r="L66" s="401">
        <f t="shared" si="7"/>
        <v>0</v>
      </c>
      <c r="M66" s="450">
        <f t="shared" si="8"/>
        <v>21</v>
      </c>
      <c r="N66" s="334">
        <v>4</v>
      </c>
      <c r="O66" s="196" t="s">
        <v>161</v>
      </c>
    </row>
    <row r="67" spans="1:15" s="196" customFormat="1" ht="13.5" customHeight="1">
      <c r="A67" s="400" t="s">
        <v>338</v>
      </c>
      <c r="B67" s="408">
        <v>2</v>
      </c>
      <c r="C67" s="419" t="s">
        <v>744</v>
      </c>
      <c r="D67" s="398" t="s">
        <v>339</v>
      </c>
      <c r="E67" s="400" t="s">
        <v>247</v>
      </c>
      <c r="F67" s="401">
        <v>310.956</v>
      </c>
      <c r="G67" s="402"/>
      <c r="H67" s="402">
        <f t="shared" si="5"/>
        <v>0</v>
      </c>
      <c r="I67" s="449">
        <v>0.00417</v>
      </c>
      <c r="J67" s="401">
        <f t="shared" si="6"/>
        <v>1.2966865200000002</v>
      </c>
      <c r="K67" s="449">
        <v>0</v>
      </c>
      <c r="L67" s="401">
        <f t="shared" si="7"/>
        <v>0</v>
      </c>
      <c r="M67" s="450">
        <f t="shared" si="8"/>
        <v>21</v>
      </c>
      <c r="N67" s="334">
        <v>4</v>
      </c>
      <c r="O67" s="196" t="s">
        <v>161</v>
      </c>
    </row>
    <row r="68" spans="1:15" s="196" customFormat="1" ht="24.75" customHeight="1">
      <c r="A68" s="400" t="s">
        <v>340</v>
      </c>
      <c r="B68" s="408">
        <v>2</v>
      </c>
      <c r="C68" s="419" t="s">
        <v>746</v>
      </c>
      <c r="D68" s="451" t="s">
        <v>341</v>
      </c>
      <c r="E68" s="400" t="s">
        <v>342</v>
      </c>
      <c r="F68" s="401">
        <v>15</v>
      </c>
      <c r="G68" s="402"/>
      <c r="H68" s="402">
        <f t="shared" si="5"/>
        <v>0</v>
      </c>
      <c r="I68" s="449">
        <v>0</v>
      </c>
      <c r="J68" s="401">
        <f t="shared" si="6"/>
        <v>0</v>
      </c>
      <c r="K68" s="449">
        <v>0</v>
      </c>
      <c r="L68" s="401">
        <f t="shared" si="7"/>
        <v>0</v>
      </c>
      <c r="M68" s="450">
        <f t="shared" si="8"/>
        <v>21</v>
      </c>
      <c r="N68" s="334">
        <v>4</v>
      </c>
      <c r="O68" s="196" t="s">
        <v>161</v>
      </c>
    </row>
    <row r="69" spans="1:15" s="318" customFormat="1" ht="13.5" customHeight="1">
      <c r="A69" s="446"/>
      <c r="B69" s="404"/>
      <c r="C69" s="421"/>
      <c r="D69" s="446" t="s">
        <v>291</v>
      </c>
      <c r="E69" s="446"/>
      <c r="F69" s="446"/>
      <c r="G69" s="446"/>
      <c r="H69" s="447">
        <f>SUM(H70:H73)</f>
        <v>0</v>
      </c>
      <c r="I69" s="446"/>
      <c r="J69" s="448">
        <f>SUM(J70:J73)</f>
        <v>0</v>
      </c>
      <c r="K69" s="446"/>
      <c r="L69" s="448">
        <f>SUM(L70:L73)</f>
        <v>0</v>
      </c>
      <c r="M69" s="450"/>
      <c r="O69" s="320" t="s">
        <v>154</v>
      </c>
    </row>
    <row r="70" spans="1:15" s="196" customFormat="1" ht="13.5" customHeight="1">
      <c r="A70" s="400" t="s">
        <v>343</v>
      </c>
      <c r="B70" s="408">
        <v>2</v>
      </c>
      <c r="C70" s="419" t="s">
        <v>750</v>
      </c>
      <c r="D70" s="398" t="s">
        <v>293</v>
      </c>
      <c r="E70" s="400" t="s">
        <v>256</v>
      </c>
      <c r="F70" s="401">
        <v>1242.78</v>
      </c>
      <c r="G70" s="402"/>
      <c r="H70" s="402">
        <f>ROUND(F70*G70,2)</f>
        <v>0</v>
      </c>
      <c r="I70" s="449">
        <v>0</v>
      </c>
      <c r="J70" s="401">
        <f>F70*I70</f>
        <v>0</v>
      </c>
      <c r="K70" s="449">
        <v>0</v>
      </c>
      <c r="L70" s="401">
        <f>F70*K70</f>
        <v>0</v>
      </c>
      <c r="M70" s="450">
        <f>$M$17</f>
        <v>21</v>
      </c>
      <c r="N70" s="334">
        <v>4</v>
      </c>
      <c r="O70" s="196" t="s">
        <v>161</v>
      </c>
    </row>
    <row r="71" spans="1:15" s="196" customFormat="1" ht="13.5" customHeight="1">
      <c r="A71" s="400" t="s">
        <v>344</v>
      </c>
      <c r="B71" s="408">
        <v>2</v>
      </c>
      <c r="C71" s="419" t="s">
        <v>751</v>
      </c>
      <c r="D71" s="398" t="s">
        <v>295</v>
      </c>
      <c r="E71" s="400" t="s">
        <v>268</v>
      </c>
      <c r="F71" s="401">
        <v>1077.739</v>
      </c>
      <c r="G71" s="402"/>
      <c r="H71" s="402">
        <f>ROUND(F71*G71,2)</f>
        <v>0</v>
      </c>
      <c r="I71" s="449">
        <v>0</v>
      </c>
      <c r="J71" s="401">
        <f>F71*I71</f>
        <v>0</v>
      </c>
      <c r="K71" s="449">
        <v>0</v>
      </c>
      <c r="L71" s="401">
        <f>F71*K71</f>
        <v>0</v>
      </c>
      <c r="M71" s="450">
        <f>$M$17</f>
        <v>21</v>
      </c>
      <c r="N71" s="334">
        <v>4</v>
      </c>
      <c r="O71" s="196" t="s">
        <v>161</v>
      </c>
    </row>
    <row r="72" spans="1:15" s="196" customFormat="1" ht="13.5" customHeight="1">
      <c r="A72" s="400" t="s">
        <v>345</v>
      </c>
      <c r="B72" s="408">
        <v>2</v>
      </c>
      <c r="C72" s="419" t="s">
        <v>752</v>
      </c>
      <c r="D72" s="398" t="s">
        <v>297</v>
      </c>
      <c r="E72" s="400" t="s">
        <v>268</v>
      </c>
      <c r="F72" s="401">
        <v>9699.651</v>
      </c>
      <c r="G72" s="402"/>
      <c r="H72" s="402">
        <f>ROUND(F72*G72,2)</f>
        <v>0</v>
      </c>
      <c r="I72" s="449">
        <v>0</v>
      </c>
      <c r="J72" s="401">
        <f>F72*I72</f>
        <v>0</v>
      </c>
      <c r="K72" s="449">
        <v>0</v>
      </c>
      <c r="L72" s="401">
        <f>F72*K72</f>
        <v>0</v>
      </c>
      <c r="M72" s="450">
        <f>$M$17</f>
        <v>21</v>
      </c>
      <c r="N72" s="334">
        <v>4</v>
      </c>
      <c r="O72" s="196" t="s">
        <v>161</v>
      </c>
    </row>
    <row r="73" spans="1:15" s="196" customFormat="1" ht="13.5" customHeight="1">
      <c r="A73" s="400" t="s">
        <v>346</v>
      </c>
      <c r="B73" s="408">
        <v>2</v>
      </c>
      <c r="C73" s="419" t="s">
        <v>753</v>
      </c>
      <c r="D73" s="398" t="s">
        <v>299</v>
      </c>
      <c r="E73" s="400" t="s">
        <v>268</v>
      </c>
      <c r="F73" s="401">
        <v>1077.739</v>
      </c>
      <c r="G73" s="402"/>
      <c r="H73" s="402">
        <f>ROUND(F73*G73,2)</f>
        <v>0</v>
      </c>
      <c r="I73" s="449">
        <v>0</v>
      </c>
      <c r="J73" s="401">
        <f>F73*I73</f>
        <v>0</v>
      </c>
      <c r="K73" s="449">
        <v>0</v>
      </c>
      <c r="L73" s="401">
        <f>F73*K73</f>
        <v>0</v>
      </c>
      <c r="M73" s="450">
        <f>$M$17</f>
        <v>21</v>
      </c>
      <c r="N73" s="334">
        <v>4</v>
      </c>
      <c r="O73" s="196" t="s">
        <v>161</v>
      </c>
    </row>
    <row r="74" spans="1:15" s="318" customFormat="1" ht="13.5" customHeight="1">
      <c r="A74" s="446"/>
      <c r="B74" s="404"/>
      <c r="C74" s="421"/>
      <c r="D74" s="446" t="s">
        <v>301</v>
      </c>
      <c r="E74" s="446"/>
      <c r="F74" s="446"/>
      <c r="G74" s="446"/>
      <c r="H74" s="447">
        <f>H75</f>
        <v>0</v>
      </c>
      <c r="I74" s="446"/>
      <c r="J74" s="448">
        <f>J75</f>
        <v>0</v>
      </c>
      <c r="K74" s="446"/>
      <c r="L74" s="448">
        <f>L75</f>
        <v>0</v>
      </c>
      <c r="M74" s="450"/>
      <c r="O74" s="320" t="s">
        <v>154</v>
      </c>
    </row>
    <row r="75" spans="1:15" s="196" customFormat="1" ht="13.5" customHeight="1">
      <c r="A75" s="400" t="s">
        <v>347</v>
      </c>
      <c r="B75" s="403">
        <v>2</v>
      </c>
      <c r="C75" s="419" t="s">
        <v>754</v>
      </c>
      <c r="D75" s="398" t="s">
        <v>303</v>
      </c>
      <c r="E75" s="400" t="s">
        <v>268</v>
      </c>
      <c r="F75" s="401">
        <v>2795.733</v>
      </c>
      <c r="G75" s="402"/>
      <c r="H75" s="402">
        <f>ROUND(F75*G75,2)</f>
        <v>0</v>
      </c>
      <c r="I75" s="449">
        <v>0</v>
      </c>
      <c r="J75" s="401">
        <f>F75*I75</f>
        <v>0</v>
      </c>
      <c r="K75" s="449">
        <v>0</v>
      </c>
      <c r="L75" s="401">
        <f>F75*K75</f>
        <v>0</v>
      </c>
      <c r="M75" s="450">
        <f>$M$17</f>
        <v>21</v>
      </c>
      <c r="N75" s="334">
        <v>4</v>
      </c>
      <c r="O75" s="196" t="s">
        <v>161</v>
      </c>
    </row>
    <row r="76" spans="1:15" s="318" customFormat="1" ht="13.5" customHeight="1">
      <c r="A76" s="446"/>
      <c r="B76" s="404"/>
      <c r="C76" s="421"/>
      <c r="D76" s="446" t="s">
        <v>304</v>
      </c>
      <c r="E76" s="446"/>
      <c r="F76" s="446"/>
      <c r="G76" s="446"/>
      <c r="H76" s="447">
        <f>H77</f>
        <v>0</v>
      </c>
      <c r="I76" s="446"/>
      <c r="J76" s="448">
        <f>J77</f>
        <v>0</v>
      </c>
      <c r="K76" s="446"/>
      <c r="L76" s="448">
        <f>L77</f>
        <v>0</v>
      </c>
      <c r="M76" s="450"/>
      <c r="O76" s="315" t="s">
        <v>244</v>
      </c>
    </row>
    <row r="77" spans="1:15" s="318" customFormat="1" ht="13.5" customHeight="1">
      <c r="A77" s="446"/>
      <c r="B77" s="404"/>
      <c r="C77" s="421"/>
      <c r="D77" s="446" t="s">
        <v>306</v>
      </c>
      <c r="E77" s="446"/>
      <c r="F77" s="446"/>
      <c r="G77" s="446"/>
      <c r="H77" s="447">
        <f>SUM(H78:H79)</f>
        <v>0</v>
      </c>
      <c r="I77" s="446"/>
      <c r="J77" s="448">
        <f>SUM(J78:J79)</f>
        <v>0</v>
      </c>
      <c r="K77" s="446"/>
      <c r="L77" s="448">
        <f>SUM(L78:L79)</f>
        <v>0</v>
      </c>
      <c r="M77" s="450"/>
      <c r="O77" s="320" t="s">
        <v>154</v>
      </c>
    </row>
    <row r="78" spans="1:15" s="196" customFormat="1" ht="13.5" customHeight="1">
      <c r="A78" s="400" t="s">
        <v>348</v>
      </c>
      <c r="B78" s="403">
        <v>2</v>
      </c>
      <c r="C78" s="419" t="s">
        <v>980</v>
      </c>
      <c r="D78" s="398" t="s">
        <v>308</v>
      </c>
      <c r="E78" s="400" t="s">
        <v>309</v>
      </c>
      <c r="F78" s="401">
        <v>15</v>
      </c>
      <c r="G78" s="402"/>
      <c r="H78" s="402">
        <f>ROUND(F78*G78,2)</f>
        <v>0</v>
      </c>
      <c r="I78" s="449">
        <v>0</v>
      </c>
      <c r="J78" s="401">
        <f>F78*I78</f>
        <v>0</v>
      </c>
      <c r="K78" s="449">
        <v>0</v>
      </c>
      <c r="L78" s="401">
        <f>F78*K78</f>
        <v>0</v>
      </c>
      <c r="M78" s="450">
        <f>$M$17</f>
        <v>21</v>
      </c>
      <c r="N78" s="334">
        <v>64</v>
      </c>
      <c r="O78" s="196" t="s">
        <v>161</v>
      </c>
    </row>
    <row r="79" spans="1:15" s="196" customFormat="1" ht="13.5" customHeight="1">
      <c r="A79" s="400" t="s">
        <v>349</v>
      </c>
      <c r="B79" s="403">
        <v>2</v>
      </c>
      <c r="C79" s="419" t="s">
        <v>981</v>
      </c>
      <c r="D79" s="398" t="s">
        <v>997</v>
      </c>
      <c r="E79" s="400" t="s">
        <v>256</v>
      </c>
      <c r="F79" s="401">
        <v>621.39</v>
      </c>
      <c r="G79" s="402"/>
      <c r="H79" s="402">
        <f>ROUND(F79*G79,2)</f>
        <v>0</v>
      </c>
      <c r="I79" s="449">
        <v>0</v>
      </c>
      <c r="J79" s="401">
        <f>F79*I79</f>
        <v>0</v>
      </c>
      <c r="K79" s="449">
        <v>0</v>
      </c>
      <c r="L79" s="401">
        <f>F79*K79</f>
        <v>0</v>
      </c>
      <c r="M79" s="450">
        <f>$M$17</f>
        <v>21</v>
      </c>
      <c r="N79" s="334">
        <v>64</v>
      </c>
      <c r="O79" s="196" t="s">
        <v>161</v>
      </c>
    </row>
    <row r="80" spans="1:13" s="323" customFormat="1" ht="13.5" customHeight="1">
      <c r="A80" s="399"/>
      <c r="B80" s="399"/>
      <c r="C80" s="399"/>
      <c r="D80" s="399" t="s">
        <v>124</v>
      </c>
      <c r="E80" s="399"/>
      <c r="F80" s="399"/>
      <c r="G80" s="399"/>
      <c r="H80" s="454">
        <f>H14+H76</f>
        <v>0</v>
      </c>
      <c r="I80" s="399"/>
      <c r="J80" s="455">
        <f>J14+J76</f>
        <v>2795.7327189199996</v>
      </c>
      <c r="K80" s="399"/>
      <c r="L80" s="455">
        <f>L14+L76</f>
        <v>1077.738816</v>
      </c>
      <c r="M80" s="399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  <rowBreaks count="1" manualBreakCount="1">
    <brk id="6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view="pageBreakPreview" zoomScaleSheetLayoutView="100" zoomScalePageLayoutView="0" workbookViewId="0" topLeftCell="A1">
      <selection activeCell="D36" sqref="D36"/>
    </sheetView>
  </sheetViews>
  <sheetFormatPr defaultColWidth="9.140625" defaultRowHeight="11.25" customHeight="1"/>
  <cols>
    <col min="1" max="1" width="9.140625" style="184" customWidth="1"/>
    <col min="2" max="2" width="4.7109375" style="184" customWidth="1"/>
    <col min="3" max="3" width="12.7109375" style="184" customWidth="1"/>
    <col min="4" max="4" width="55.57421875" style="34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42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21" customHeight="1">
      <c r="A2" s="340" t="s">
        <v>72</v>
      </c>
      <c r="B2" s="341" t="s">
        <v>2</v>
      </c>
      <c r="C2" s="299"/>
      <c r="D2" s="343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'[3]Krycí list'!E7</f>
        <v>SO 01 Stoka RA</v>
      </c>
      <c r="C3" s="299"/>
      <c r="D3" s="343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'[3]Krycí list'!E9</f>
        <v>SO 01 Stoka RA DN 400</v>
      </c>
      <c r="C4" s="299"/>
      <c r="D4" s="343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'[3]Krycí list'!P5</f>
        <v> </v>
      </c>
      <c r="C5" s="299"/>
      <c r="D5" s="343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343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343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343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343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42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53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8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H15+H39+H45+H48+H52+H58+H83+H88</f>
        <v>0</v>
      </c>
      <c r="I14" s="446"/>
      <c r="J14" s="448" t="e">
        <f>J15+#REF!+J31+#REF!+#REF!+J32+J40+#REF!</f>
        <v>#REF!</v>
      </c>
      <c r="K14" s="446"/>
      <c r="L14" s="448" t="e">
        <f>L15+#REF!+L31+#REF!+#REF!+L32+L40+#REF!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SUM(H16:H38)</f>
        <v>0</v>
      </c>
      <c r="I15" s="446"/>
      <c r="J15" s="448">
        <f>SUM(J16:J29)</f>
        <v>7.4446200000000005</v>
      </c>
      <c r="K15" s="446"/>
      <c r="L15" s="448">
        <f>SUM(L16:L29)</f>
        <v>176.472</v>
      </c>
      <c r="M15" s="446"/>
      <c r="O15" s="320" t="s">
        <v>154</v>
      </c>
    </row>
    <row r="16" spans="1:15" s="196" customFormat="1" ht="13.5" customHeight="1">
      <c r="A16" s="400">
        <v>1</v>
      </c>
      <c r="B16" s="400">
        <v>3</v>
      </c>
      <c r="C16" s="419" t="s">
        <v>757</v>
      </c>
      <c r="D16" s="451" t="s">
        <v>246</v>
      </c>
      <c r="E16" s="400" t="s">
        <v>247</v>
      </c>
      <c r="F16" s="401">
        <v>256.5</v>
      </c>
      <c r="G16" s="402"/>
      <c r="H16" s="402">
        <f aca="true" t="shared" si="0" ref="H16:H29">ROUND(F16*G16,2)</f>
        <v>0</v>
      </c>
      <c r="I16" s="449">
        <v>0</v>
      </c>
      <c r="J16" s="401">
        <f aca="true" t="shared" si="1" ref="J16:J29">F16*I16</f>
        <v>0</v>
      </c>
      <c r="K16" s="449">
        <v>0.56</v>
      </c>
      <c r="L16" s="401">
        <f aca="true" t="shared" si="2" ref="L16:L29">F16*K16</f>
        <v>143.64000000000001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>
        <v>2</v>
      </c>
      <c r="B17" s="400">
        <v>3</v>
      </c>
      <c r="C17" s="419" t="s">
        <v>758</v>
      </c>
      <c r="D17" s="451" t="s">
        <v>248</v>
      </c>
      <c r="E17" s="400" t="s">
        <v>247</v>
      </c>
      <c r="F17" s="401">
        <v>256.5</v>
      </c>
      <c r="G17" s="402"/>
      <c r="H17" s="402">
        <f t="shared" si="0"/>
        <v>0</v>
      </c>
      <c r="I17" s="449">
        <v>2E-05</v>
      </c>
      <c r="J17" s="401">
        <f t="shared" si="1"/>
        <v>0.00513</v>
      </c>
      <c r="K17" s="449">
        <v>0.128</v>
      </c>
      <c r="L17" s="401">
        <f t="shared" si="2"/>
        <v>32.832</v>
      </c>
      <c r="M17" s="450">
        <v>21</v>
      </c>
      <c r="N17" s="334">
        <v>4</v>
      </c>
      <c r="O17" s="196" t="s">
        <v>161</v>
      </c>
    </row>
    <row r="18" spans="1:15" s="196" customFormat="1" ht="13.5" customHeight="1">
      <c r="A18" s="400">
        <v>3</v>
      </c>
      <c r="B18" s="400">
        <v>3</v>
      </c>
      <c r="C18" s="419" t="s">
        <v>759</v>
      </c>
      <c r="D18" s="451" t="s">
        <v>249</v>
      </c>
      <c r="E18" s="400" t="s">
        <v>247</v>
      </c>
      <c r="F18" s="401">
        <v>256.5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0</v>
      </c>
      <c r="L18" s="401">
        <f t="shared" si="2"/>
        <v>0</v>
      </c>
      <c r="M18" s="450">
        <v>21</v>
      </c>
      <c r="N18" s="334">
        <v>4</v>
      </c>
      <c r="O18" s="196" t="s">
        <v>161</v>
      </c>
    </row>
    <row r="19" spans="1:15" s="196" customFormat="1" ht="24" customHeight="1">
      <c r="A19" s="400">
        <v>4</v>
      </c>
      <c r="B19" s="400">
        <v>3</v>
      </c>
      <c r="C19" s="419" t="s">
        <v>760</v>
      </c>
      <c r="D19" s="451" t="s">
        <v>250</v>
      </c>
      <c r="E19" s="400" t="s">
        <v>247</v>
      </c>
      <c r="F19" s="401">
        <v>855</v>
      </c>
      <c r="G19" s="402"/>
      <c r="H19" s="402">
        <f t="shared" si="0"/>
        <v>0</v>
      </c>
      <c r="I19" s="449">
        <v>0.00868</v>
      </c>
      <c r="J19" s="401">
        <f t="shared" si="1"/>
        <v>7.4214</v>
      </c>
      <c r="K19" s="449">
        <v>0</v>
      </c>
      <c r="L19" s="401">
        <f t="shared" si="2"/>
        <v>0</v>
      </c>
      <c r="M19" s="450">
        <v>21</v>
      </c>
      <c r="N19" s="334">
        <v>4</v>
      </c>
      <c r="O19" s="196" t="s">
        <v>161</v>
      </c>
    </row>
    <row r="20" spans="1:15" s="196" customFormat="1" ht="13.5" customHeight="1">
      <c r="A20" s="400">
        <v>5</v>
      </c>
      <c r="B20" s="400">
        <v>3</v>
      </c>
      <c r="C20" s="419" t="s">
        <v>761</v>
      </c>
      <c r="D20" s="451" t="s">
        <v>251</v>
      </c>
      <c r="E20" s="400" t="s">
        <v>252</v>
      </c>
      <c r="F20" s="401">
        <v>5616</v>
      </c>
      <c r="G20" s="402"/>
      <c r="H20" s="402">
        <f t="shared" si="0"/>
        <v>0</v>
      </c>
      <c r="I20" s="449">
        <v>0</v>
      </c>
      <c r="J20" s="401">
        <f t="shared" si="1"/>
        <v>0</v>
      </c>
      <c r="K20" s="449">
        <v>0</v>
      </c>
      <c r="L20" s="401">
        <f t="shared" si="2"/>
        <v>0</v>
      </c>
      <c r="M20" s="450">
        <v>21</v>
      </c>
      <c r="N20" s="334">
        <v>4</v>
      </c>
      <c r="O20" s="196" t="s">
        <v>161</v>
      </c>
    </row>
    <row r="21" spans="1:15" s="196" customFormat="1" ht="13.5" customHeight="1">
      <c r="A21" s="400">
        <v>6</v>
      </c>
      <c r="B21" s="400">
        <v>3</v>
      </c>
      <c r="C21" s="419" t="s">
        <v>762</v>
      </c>
      <c r="D21" s="451" t="s">
        <v>253</v>
      </c>
      <c r="E21" s="400" t="s">
        <v>254</v>
      </c>
      <c r="F21" s="401">
        <v>234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v>21</v>
      </c>
      <c r="N21" s="334">
        <v>4</v>
      </c>
      <c r="O21" s="196" t="s">
        <v>161</v>
      </c>
    </row>
    <row r="22" spans="1:15" s="196" customFormat="1" ht="13.5" customHeight="1">
      <c r="A22" s="400">
        <v>7</v>
      </c>
      <c r="B22" s="400">
        <v>3</v>
      </c>
      <c r="C22" s="419" t="s">
        <v>763</v>
      </c>
      <c r="D22" s="451" t="s">
        <v>255</v>
      </c>
      <c r="E22" s="400" t="s">
        <v>256</v>
      </c>
      <c r="F22" s="401">
        <v>9</v>
      </c>
      <c r="G22" s="402"/>
      <c r="H22" s="402">
        <f t="shared" si="0"/>
        <v>0</v>
      </c>
      <c r="I22" s="449">
        <v>0.00201</v>
      </c>
      <c r="J22" s="401">
        <f t="shared" si="1"/>
        <v>0.018090000000000002</v>
      </c>
      <c r="K22" s="449">
        <v>0</v>
      </c>
      <c r="L22" s="401">
        <f t="shared" si="2"/>
        <v>0</v>
      </c>
      <c r="M22" s="450">
        <v>21</v>
      </c>
      <c r="N22" s="334">
        <v>4</v>
      </c>
      <c r="O22" s="196" t="s">
        <v>161</v>
      </c>
    </row>
    <row r="23" spans="1:15" s="196" customFormat="1" ht="24" customHeight="1">
      <c r="A23" s="400">
        <v>8</v>
      </c>
      <c r="B23" s="400">
        <v>3</v>
      </c>
      <c r="C23" s="419" t="s">
        <v>764</v>
      </c>
      <c r="D23" s="451" t="s">
        <v>312</v>
      </c>
      <c r="E23" s="400" t="s">
        <v>256</v>
      </c>
      <c r="F23" s="401">
        <v>4.5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v>21</v>
      </c>
      <c r="N23" s="334">
        <v>4</v>
      </c>
      <c r="O23" s="196" t="s">
        <v>161</v>
      </c>
    </row>
    <row r="24" spans="1:15" s="196" customFormat="1" ht="13.5" customHeight="1">
      <c r="A24" s="400">
        <v>9</v>
      </c>
      <c r="B24" s="400">
        <v>3</v>
      </c>
      <c r="C24" s="419" t="s">
        <v>765</v>
      </c>
      <c r="D24" s="451" t="s">
        <v>351</v>
      </c>
      <c r="E24" s="400" t="s">
        <v>258</v>
      </c>
      <c r="F24" s="401">
        <v>669.335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v>21</v>
      </c>
      <c r="N24" s="334">
        <v>4</v>
      </c>
      <c r="O24" s="196" t="s">
        <v>161</v>
      </c>
    </row>
    <row r="25" spans="1:15" s="196" customFormat="1" ht="13.5" customHeight="1">
      <c r="A25" s="400">
        <v>10</v>
      </c>
      <c r="B25" s="400">
        <v>3</v>
      </c>
      <c r="C25" s="419" t="s">
        <v>766</v>
      </c>
      <c r="D25" s="451" t="s">
        <v>352</v>
      </c>
      <c r="E25" s="400" t="s">
        <v>258</v>
      </c>
      <c r="F25" s="401">
        <v>7014.566</v>
      </c>
      <c r="G25" s="402"/>
      <c r="H25" s="402">
        <f t="shared" si="0"/>
        <v>0</v>
      </c>
      <c r="I25" s="449">
        <v>0</v>
      </c>
      <c r="J25" s="401">
        <f t="shared" si="1"/>
        <v>0</v>
      </c>
      <c r="K25" s="449">
        <v>0</v>
      </c>
      <c r="L25" s="401">
        <f t="shared" si="2"/>
        <v>0</v>
      </c>
      <c r="M25" s="450">
        <v>21</v>
      </c>
      <c r="N25" s="334">
        <v>4</v>
      </c>
      <c r="O25" s="196" t="s">
        <v>161</v>
      </c>
    </row>
    <row r="26" spans="1:15" s="196" customFormat="1" ht="13.5" customHeight="1">
      <c r="A26" s="400">
        <v>11</v>
      </c>
      <c r="B26" s="400">
        <v>3</v>
      </c>
      <c r="C26" s="419" t="s">
        <v>767</v>
      </c>
      <c r="D26" s="451" t="s">
        <v>259</v>
      </c>
      <c r="E26" s="400" t="s">
        <v>258</v>
      </c>
      <c r="F26" s="401">
        <v>7014.566</v>
      </c>
      <c r="G26" s="402"/>
      <c r="H26" s="402">
        <f t="shared" si="0"/>
        <v>0</v>
      </c>
      <c r="I26" s="449">
        <v>0</v>
      </c>
      <c r="J26" s="401">
        <f t="shared" si="1"/>
        <v>0</v>
      </c>
      <c r="K26" s="449">
        <v>0</v>
      </c>
      <c r="L26" s="401">
        <f t="shared" si="2"/>
        <v>0</v>
      </c>
      <c r="M26" s="450">
        <v>21</v>
      </c>
      <c r="N26" s="334">
        <v>4</v>
      </c>
      <c r="O26" s="196" t="s">
        <v>161</v>
      </c>
    </row>
    <row r="27" spans="1:15" s="196" customFormat="1" ht="13.5" customHeight="1">
      <c r="A27" s="400">
        <v>12</v>
      </c>
      <c r="B27" s="400">
        <v>3</v>
      </c>
      <c r="C27" s="419" t="s">
        <v>768</v>
      </c>
      <c r="D27" s="451" t="s">
        <v>260</v>
      </c>
      <c r="E27" s="400" t="s">
        <v>247</v>
      </c>
      <c r="F27" s="401">
        <v>10315.31</v>
      </c>
      <c r="G27" s="402"/>
      <c r="H27" s="402">
        <f t="shared" si="0"/>
        <v>0</v>
      </c>
      <c r="I27" s="449">
        <v>0</v>
      </c>
      <c r="J27" s="401">
        <f t="shared" si="1"/>
        <v>0</v>
      </c>
      <c r="K27" s="449">
        <v>0</v>
      </c>
      <c r="L27" s="401">
        <f t="shared" si="2"/>
        <v>0</v>
      </c>
      <c r="M27" s="450">
        <v>21</v>
      </c>
      <c r="N27" s="334">
        <v>4</v>
      </c>
      <c r="O27" s="196" t="s">
        <v>161</v>
      </c>
    </row>
    <row r="28" spans="1:15" s="196" customFormat="1" ht="13.5" customHeight="1">
      <c r="A28" s="400">
        <v>13</v>
      </c>
      <c r="B28" s="400">
        <v>3</v>
      </c>
      <c r="C28" s="419" t="s">
        <v>769</v>
      </c>
      <c r="D28" s="451" t="s">
        <v>261</v>
      </c>
      <c r="E28" s="400" t="s">
        <v>247</v>
      </c>
      <c r="F28" s="401">
        <v>10315.31</v>
      </c>
      <c r="G28" s="402"/>
      <c r="H28" s="402">
        <f t="shared" si="0"/>
        <v>0</v>
      </c>
      <c r="I28" s="449">
        <v>0</v>
      </c>
      <c r="J28" s="401">
        <f t="shared" si="1"/>
        <v>0</v>
      </c>
      <c r="K28" s="449">
        <v>0</v>
      </c>
      <c r="L28" s="401">
        <f t="shared" si="2"/>
        <v>0</v>
      </c>
      <c r="M28" s="450">
        <v>21</v>
      </c>
      <c r="N28" s="334">
        <v>4</v>
      </c>
      <c r="O28" s="196" t="s">
        <v>161</v>
      </c>
    </row>
    <row r="29" spans="1:15" s="196" customFormat="1" ht="13.5" customHeight="1">
      <c r="A29" s="400">
        <v>14</v>
      </c>
      <c r="B29" s="400">
        <v>3</v>
      </c>
      <c r="C29" s="419" t="s">
        <v>770</v>
      </c>
      <c r="D29" s="451" t="s">
        <v>262</v>
      </c>
      <c r="E29" s="400" t="s">
        <v>258</v>
      </c>
      <c r="F29" s="401">
        <v>3858.011</v>
      </c>
      <c r="G29" s="402"/>
      <c r="H29" s="402">
        <f t="shared" si="0"/>
        <v>0</v>
      </c>
      <c r="I29" s="449">
        <v>0</v>
      </c>
      <c r="J29" s="401">
        <f t="shared" si="1"/>
        <v>0</v>
      </c>
      <c r="K29" s="449">
        <v>0</v>
      </c>
      <c r="L29" s="401">
        <f t="shared" si="2"/>
        <v>0</v>
      </c>
      <c r="M29" s="450">
        <v>21</v>
      </c>
      <c r="N29" s="334">
        <v>4</v>
      </c>
      <c r="O29" s="196" t="s">
        <v>161</v>
      </c>
    </row>
    <row r="30" spans="1:15" s="196" customFormat="1" ht="24" customHeight="1">
      <c r="A30" s="400">
        <v>15</v>
      </c>
      <c r="B30" s="400">
        <v>3</v>
      </c>
      <c r="C30" s="419" t="s">
        <v>771</v>
      </c>
      <c r="D30" s="451" t="s">
        <v>263</v>
      </c>
      <c r="E30" s="400" t="s">
        <v>258</v>
      </c>
      <c r="F30" s="401">
        <v>2086.747</v>
      </c>
      <c r="G30" s="402"/>
      <c r="H30" s="402">
        <f>ROUND(F30*G30,2)</f>
        <v>0</v>
      </c>
      <c r="I30" s="449">
        <v>0</v>
      </c>
      <c r="J30" s="401">
        <f>F30*I30</f>
        <v>0</v>
      </c>
      <c r="K30" s="449">
        <v>0</v>
      </c>
      <c r="L30" s="401">
        <f>F30*K30</f>
        <v>0</v>
      </c>
      <c r="M30" s="450">
        <v>21</v>
      </c>
      <c r="N30" s="334">
        <v>4</v>
      </c>
      <c r="O30" s="196" t="s">
        <v>161</v>
      </c>
    </row>
    <row r="31" spans="1:15" s="318" customFormat="1" ht="13.5" customHeight="1">
      <c r="A31" s="400">
        <v>16</v>
      </c>
      <c r="B31" s="400">
        <v>3</v>
      </c>
      <c r="C31" s="419" t="s">
        <v>772</v>
      </c>
      <c r="D31" s="451" t="s">
        <v>264</v>
      </c>
      <c r="E31" s="400" t="s">
        <v>258</v>
      </c>
      <c r="F31" s="401">
        <v>2086.747</v>
      </c>
      <c r="G31" s="402"/>
      <c r="H31" s="402">
        <f>ROUND(F31*G31,2)</f>
        <v>0</v>
      </c>
      <c r="I31" s="446"/>
      <c r="J31" s="448" t="e">
        <f>SUM(#REF!)</f>
        <v>#REF!</v>
      </c>
      <c r="K31" s="446"/>
      <c r="L31" s="448" t="e">
        <f>SUM(#REF!)</f>
        <v>#REF!</v>
      </c>
      <c r="M31" s="450">
        <v>21</v>
      </c>
      <c r="O31" s="320" t="s">
        <v>154</v>
      </c>
    </row>
    <row r="32" spans="1:15" s="318" customFormat="1" ht="13.5" customHeight="1">
      <c r="A32" s="400">
        <v>17</v>
      </c>
      <c r="B32" s="400">
        <v>3</v>
      </c>
      <c r="C32" s="419" t="s">
        <v>773</v>
      </c>
      <c r="D32" s="451" t="s">
        <v>353</v>
      </c>
      <c r="E32" s="400" t="s">
        <v>258</v>
      </c>
      <c r="F32" s="401">
        <v>70.4</v>
      </c>
      <c r="G32" s="402"/>
      <c r="H32" s="402">
        <f aca="true" t="shared" si="3" ref="H32:H38">ROUND(F32*G32,2)</f>
        <v>0</v>
      </c>
      <c r="I32" s="446"/>
      <c r="J32" s="448">
        <f>SUM(J33:J39)</f>
        <v>9.872636109999998</v>
      </c>
      <c r="K32" s="446"/>
      <c r="L32" s="448">
        <f>SUM(L33:L39)</f>
        <v>0</v>
      </c>
      <c r="M32" s="450">
        <v>21</v>
      </c>
      <c r="O32" s="320" t="s">
        <v>154</v>
      </c>
    </row>
    <row r="33" spans="1:15" s="196" customFormat="1" ht="13.5" customHeight="1">
      <c r="A33" s="400">
        <v>18</v>
      </c>
      <c r="B33" s="400">
        <v>3</v>
      </c>
      <c r="C33" s="419" t="s">
        <v>774</v>
      </c>
      <c r="D33" s="451" t="s">
        <v>265</v>
      </c>
      <c r="E33" s="400" t="s">
        <v>258</v>
      </c>
      <c r="F33" s="401">
        <v>5171.696</v>
      </c>
      <c r="G33" s="402"/>
      <c r="H33" s="402">
        <f t="shared" si="3"/>
        <v>0</v>
      </c>
      <c r="I33" s="449">
        <v>0.00011</v>
      </c>
      <c r="J33" s="401">
        <f aca="true" t="shared" si="4" ref="J33:J39">F33*I33</f>
        <v>0.56888656</v>
      </c>
      <c r="K33" s="449">
        <v>0</v>
      </c>
      <c r="L33" s="401">
        <f aca="true" t="shared" si="5" ref="L33:L39">F33*K33</f>
        <v>0</v>
      </c>
      <c r="M33" s="450">
        <v>21</v>
      </c>
      <c r="N33" s="334">
        <v>4</v>
      </c>
      <c r="O33" s="196" t="s">
        <v>161</v>
      </c>
    </row>
    <row r="34" spans="1:15" s="196" customFormat="1" ht="13.5" customHeight="1">
      <c r="A34" s="400">
        <v>19</v>
      </c>
      <c r="B34" s="400">
        <v>3</v>
      </c>
      <c r="C34" s="419" t="s">
        <v>775</v>
      </c>
      <c r="D34" s="451" t="s">
        <v>267</v>
      </c>
      <c r="E34" s="400" t="s">
        <v>268</v>
      </c>
      <c r="F34" s="401">
        <v>993.252</v>
      </c>
      <c r="G34" s="402"/>
      <c r="H34" s="402">
        <f t="shared" si="3"/>
        <v>0</v>
      </c>
      <c r="I34" s="449">
        <v>0</v>
      </c>
      <c r="J34" s="401">
        <f t="shared" si="4"/>
        <v>0</v>
      </c>
      <c r="K34" s="449">
        <v>0</v>
      </c>
      <c r="L34" s="401">
        <f t="shared" si="5"/>
        <v>0</v>
      </c>
      <c r="M34" s="450">
        <v>21</v>
      </c>
      <c r="N34" s="334">
        <v>4</v>
      </c>
      <c r="O34" s="196" t="s">
        <v>161</v>
      </c>
    </row>
    <row r="35" spans="1:15" s="196" customFormat="1" ht="24" customHeight="1">
      <c r="A35" s="400">
        <v>20</v>
      </c>
      <c r="B35" s="400">
        <v>3</v>
      </c>
      <c r="C35" s="419" t="s">
        <v>776</v>
      </c>
      <c r="D35" s="451" t="s">
        <v>354</v>
      </c>
      <c r="E35" s="400" t="s">
        <v>247</v>
      </c>
      <c r="F35" s="401">
        <v>2231.115</v>
      </c>
      <c r="G35" s="402"/>
      <c r="H35" s="402">
        <f t="shared" si="3"/>
        <v>0</v>
      </c>
      <c r="I35" s="449">
        <v>0.00417</v>
      </c>
      <c r="J35" s="401">
        <f t="shared" si="4"/>
        <v>9.30374955</v>
      </c>
      <c r="K35" s="449">
        <v>0</v>
      </c>
      <c r="L35" s="401">
        <f t="shared" si="5"/>
        <v>0</v>
      </c>
      <c r="M35" s="450">
        <v>21</v>
      </c>
      <c r="N35" s="334">
        <v>4</v>
      </c>
      <c r="O35" s="196" t="s">
        <v>161</v>
      </c>
    </row>
    <row r="36" spans="1:15" s="196" customFormat="1" ht="13.5" customHeight="1">
      <c r="A36" s="400">
        <v>21</v>
      </c>
      <c r="B36" s="400">
        <v>3</v>
      </c>
      <c r="C36" s="419" t="s">
        <v>777</v>
      </c>
      <c r="D36" s="451" t="s">
        <v>1023</v>
      </c>
      <c r="E36" s="400" t="s">
        <v>342</v>
      </c>
      <c r="F36" s="401">
        <v>1</v>
      </c>
      <c r="G36" s="402"/>
      <c r="H36" s="402">
        <f t="shared" si="3"/>
        <v>0</v>
      </c>
      <c r="I36" s="449">
        <v>0</v>
      </c>
      <c r="J36" s="401">
        <f t="shared" si="4"/>
        <v>0</v>
      </c>
      <c r="K36" s="449">
        <v>0</v>
      </c>
      <c r="L36" s="401">
        <f t="shared" si="5"/>
        <v>0</v>
      </c>
      <c r="M36" s="450">
        <v>21</v>
      </c>
      <c r="N36" s="334">
        <v>4</v>
      </c>
      <c r="O36" s="196" t="s">
        <v>161</v>
      </c>
    </row>
    <row r="37" spans="1:15" s="196" customFormat="1" ht="13.5" customHeight="1">
      <c r="A37" s="400">
        <v>22</v>
      </c>
      <c r="B37" s="400">
        <v>3</v>
      </c>
      <c r="C37" s="419" t="s">
        <v>778</v>
      </c>
      <c r="D37" s="451" t="s">
        <v>355</v>
      </c>
      <c r="E37" s="400" t="s">
        <v>247</v>
      </c>
      <c r="F37" s="401">
        <v>2231.115</v>
      </c>
      <c r="G37" s="402"/>
      <c r="H37" s="402">
        <f t="shared" si="3"/>
        <v>0</v>
      </c>
      <c r="I37" s="449">
        <v>0</v>
      </c>
      <c r="J37" s="401">
        <f t="shared" si="4"/>
        <v>0</v>
      </c>
      <c r="K37" s="449">
        <v>0</v>
      </c>
      <c r="L37" s="401">
        <f t="shared" si="5"/>
        <v>0</v>
      </c>
      <c r="M37" s="450">
        <v>21</v>
      </c>
      <c r="N37" s="334">
        <v>4</v>
      </c>
      <c r="O37" s="196" t="s">
        <v>161</v>
      </c>
    </row>
    <row r="38" spans="1:15" s="196" customFormat="1" ht="13.5" customHeight="1">
      <c r="A38" s="400">
        <v>23</v>
      </c>
      <c r="B38" s="400">
        <v>3</v>
      </c>
      <c r="C38" s="419" t="s">
        <v>779</v>
      </c>
      <c r="D38" s="451" t="s">
        <v>356</v>
      </c>
      <c r="E38" s="400" t="s">
        <v>357</v>
      </c>
      <c r="F38" s="401">
        <v>55.778</v>
      </c>
      <c r="G38" s="402"/>
      <c r="H38" s="402">
        <f t="shared" si="3"/>
        <v>0</v>
      </c>
      <c r="I38" s="449">
        <v>0</v>
      </c>
      <c r="J38" s="401">
        <f t="shared" si="4"/>
        <v>0</v>
      </c>
      <c r="K38" s="449">
        <v>0</v>
      </c>
      <c r="L38" s="401">
        <f t="shared" si="5"/>
        <v>0</v>
      </c>
      <c r="M38" s="450">
        <v>21</v>
      </c>
      <c r="N38" s="334">
        <v>4</v>
      </c>
      <c r="O38" s="196" t="s">
        <v>161</v>
      </c>
    </row>
    <row r="39" spans="1:15" s="196" customFormat="1" ht="13.5" customHeight="1">
      <c r="A39" s="400"/>
      <c r="B39" s="446"/>
      <c r="C39" s="446" t="s">
        <v>358</v>
      </c>
      <c r="D39" s="446" t="s">
        <v>359</v>
      </c>
      <c r="E39" s="446"/>
      <c r="F39" s="446"/>
      <c r="G39" s="446"/>
      <c r="H39" s="447">
        <f>SUM(H40:H44)</f>
        <v>0</v>
      </c>
      <c r="I39" s="449">
        <v>0</v>
      </c>
      <c r="J39" s="401">
        <f t="shared" si="4"/>
        <v>0</v>
      </c>
      <c r="K39" s="449">
        <v>0</v>
      </c>
      <c r="L39" s="401">
        <f t="shared" si="5"/>
        <v>0</v>
      </c>
      <c r="M39" s="450"/>
      <c r="N39" s="334">
        <v>4</v>
      </c>
      <c r="O39" s="196" t="s">
        <v>161</v>
      </c>
    </row>
    <row r="40" spans="1:15" s="318" customFormat="1" ht="24" customHeight="1">
      <c r="A40" s="400">
        <v>24</v>
      </c>
      <c r="B40" s="400">
        <v>3</v>
      </c>
      <c r="C40" s="419" t="s">
        <v>780</v>
      </c>
      <c r="D40" s="451" t="s">
        <v>360</v>
      </c>
      <c r="E40" s="400" t="s">
        <v>256</v>
      </c>
      <c r="F40" s="401">
        <v>9.5</v>
      </c>
      <c r="G40" s="402"/>
      <c r="H40" s="402">
        <f>ROUND(F40*G40,2)</f>
        <v>0</v>
      </c>
      <c r="I40" s="446"/>
      <c r="J40" s="448">
        <f>SUM(J41:J42)</f>
        <v>0</v>
      </c>
      <c r="K40" s="446"/>
      <c r="L40" s="448">
        <f>SUM(L41:L42)</f>
        <v>0</v>
      </c>
      <c r="M40" s="450">
        <v>21</v>
      </c>
      <c r="O40" s="320" t="s">
        <v>154</v>
      </c>
    </row>
    <row r="41" spans="1:15" s="196" customFormat="1" ht="13.5" customHeight="1">
      <c r="A41" s="400">
        <v>25</v>
      </c>
      <c r="B41" s="400">
        <v>3</v>
      </c>
      <c r="C41" s="419" t="s">
        <v>781</v>
      </c>
      <c r="D41" s="451" t="s">
        <v>361</v>
      </c>
      <c r="E41" s="400" t="s">
        <v>256</v>
      </c>
      <c r="F41" s="401">
        <v>9.5</v>
      </c>
      <c r="G41" s="402"/>
      <c r="H41" s="402">
        <f>ROUND(F41*G41,2)</f>
        <v>0</v>
      </c>
      <c r="I41" s="449">
        <v>0</v>
      </c>
      <c r="J41" s="401">
        <f>F41*I41</f>
        <v>0</v>
      </c>
      <c r="K41" s="449">
        <v>0</v>
      </c>
      <c r="L41" s="401">
        <f>F41*K41</f>
        <v>0</v>
      </c>
      <c r="M41" s="450">
        <v>21</v>
      </c>
      <c r="N41" s="334">
        <v>4</v>
      </c>
      <c r="O41" s="196" t="s">
        <v>161</v>
      </c>
    </row>
    <row r="42" spans="1:15" s="196" customFormat="1" ht="13.5" customHeight="1">
      <c r="A42" s="400">
        <v>26</v>
      </c>
      <c r="B42" s="400">
        <v>3</v>
      </c>
      <c r="C42" s="419" t="s">
        <v>782</v>
      </c>
      <c r="D42" s="451" t="s">
        <v>362</v>
      </c>
      <c r="E42" s="400" t="s">
        <v>258</v>
      </c>
      <c r="F42" s="401">
        <v>107.87</v>
      </c>
      <c r="G42" s="402"/>
      <c r="H42" s="402">
        <f>ROUND(F42*G42,2)</f>
        <v>0</v>
      </c>
      <c r="I42" s="449">
        <v>0</v>
      </c>
      <c r="J42" s="401">
        <f>F42*I42</f>
        <v>0</v>
      </c>
      <c r="K42" s="449">
        <v>0</v>
      </c>
      <c r="L42" s="401">
        <f>F42*K42</f>
        <v>0</v>
      </c>
      <c r="M42" s="450">
        <v>21</v>
      </c>
      <c r="N42" s="334">
        <v>4</v>
      </c>
      <c r="O42" s="196" t="s">
        <v>161</v>
      </c>
    </row>
    <row r="43" spans="1:15" s="196" customFormat="1" ht="13.5" customHeight="1">
      <c r="A43" s="400">
        <v>27</v>
      </c>
      <c r="B43" s="400">
        <v>3</v>
      </c>
      <c r="C43" s="419" t="s">
        <v>783</v>
      </c>
      <c r="D43" s="451" t="s">
        <v>363</v>
      </c>
      <c r="E43" s="400" t="s">
        <v>258</v>
      </c>
      <c r="F43" s="401">
        <v>3.519</v>
      </c>
      <c r="G43" s="402"/>
      <c r="H43" s="402">
        <f>ROUND(F43*G43,2)</f>
        <v>0</v>
      </c>
      <c r="I43" s="449">
        <v>0</v>
      </c>
      <c r="J43" s="401">
        <f>F43*I43</f>
        <v>0</v>
      </c>
      <c r="K43" s="449">
        <v>0</v>
      </c>
      <c r="L43" s="401">
        <f>F43*K43</f>
        <v>0</v>
      </c>
      <c r="M43" s="450">
        <v>21</v>
      </c>
      <c r="N43" s="334">
        <v>4</v>
      </c>
      <c r="O43" s="196" t="s">
        <v>161</v>
      </c>
    </row>
    <row r="44" spans="1:15" s="196" customFormat="1" ht="13.5" customHeight="1">
      <c r="A44" s="400">
        <v>28</v>
      </c>
      <c r="B44" s="400">
        <v>3</v>
      </c>
      <c r="C44" s="419" t="s">
        <v>784</v>
      </c>
      <c r="D44" s="451" t="s">
        <v>364</v>
      </c>
      <c r="E44" s="400" t="s">
        <v>365</v>
      </c>
      <c r="F44" s="401">
        <v>1</v>
      </c>
      <c r="G44" s="402"/>
      <c r="H44" s="402">
        <f>ROUND(F44*G44,2)</f>
        <v>0</v>
      </c>
      <c r="I44" s="449">
        <v>0</v>
      </c>
      <c r="J44" s="401">
        <f>F44*I44</f>
        <v>0</v>
      </c>
      <c r="K44" s="449">
        <v>0</v>
      </c>
      <c r="L44" s="401">
        <f>F44*K44</f>
        <v>0</v>
      </c>
      <c r="M44" s="450">
        <v>21</v>
      </c>
      <c r="N44" s="334">
        <v>64</v>
      </c>
      <c r="O44" s="196" t="s">
        <v>161</v>
      </c>
    </row>
    <row r="45" spans="1:13" s="323" customFormat="1" ht="13.5" customHeight="1">
      <c r="A45" s="400"/>
      <c r="B45" s="446"/>
      <c r="C45" s="446" t="s">
        <v>161</v>
      </c>
      <c r="D45" s="446" t="s">
        <v>271</v>
      </c>
      <c r="E45" s="446"/>
      <c r="F45" s="446"/>
      <c r="G45" s="446"/>
      <c r="H45" s="447">
        <f>SUM(H46:H47)</f>
        <v>0</v>
      </c>
      <c r="I45" s="399"/>
      <c r="J45" s="455" t="e">
        <f>J14+#REF!</f>
        <v>#REF!</v>
      </c>
      <c r="K45" s="399"/>
      <c r="L45" s="455" t="e">
        <f>L14+#REF!</f>
        <v>#REF!</v>
      </c>
      <c r="M45" s="450"/>
    </row>
    <row r="46" spans="1:13" ht="13.5" customHeight="1">
      <c r="A46" s="400">
        <v>29</v>
      </c>
      <c r="B46" s="400">
        <v>3</v>
      </c>
      <c r="C46" s="419" t="s">
        <v>719</v>
      </c>
      <c r="D46" s="451" t="s">
        <v>272</v>
      </c>
      <c r="E46" s="400" t="s">
        <v>256</v>
      </c>
      <c r="F46" s="401">
        <v>1658.41</v>
      </c>
      <c r="G46" s="402"/>
      <c r="H46" s="402">
        <f>ROUND(F46*G46,2)</f>
        <v>0</v>
      </c>
      <c r="I46" s="453"/>
      <c r="J46" s="453"/>
      <c r="K46" s="453"/>
      <c r="L46" s="453"/>
      <c r="M46" s="450">
        <v>21</v>
      </c>
    </row>
    <row r="47" spans="1:13" ht="15.75" customHeight="1">
      <c r="A47" s="400">
        <v>30</v>
      </c>
      <c r="B47" s="400">
        <v>3</v>
      </c>
      <c r="C47" s="419" t="s">
        <v>720</v>
      </c>
      <c r="D47" s="561" t="s">
        <v>401</v>
      </c>
      <c r="E47" s="400" t="s">
        <v>274</v>
      </c>
      <c r="F47" s="401">
        <v>32</v>
      </c>
      <c r="G47" s="402"/>
      <c r="H47" s="402">
        <f>ROUND(F47*G47,2)</f>
        <v>0</v>
      </c>
      <c r="I47" s="453"/>
      <c r="J47" s="453"/>
      <c r="K47" s="453"/>
      <c r="L47" s="453"/>
      <c r="M47" s="450">
        <v>21</v>
      </c>
    </row>
    <row r="48" spans="1:13" ht="13.5" customHeight="1">
      <c r="A48" s="400"/>
      <c r="B48" s="446"/>
      <c r="C48" s="446" t="s">
        <v>173</v>
      </c>
      <c r="D48" s="446" t="s">
        <v>275</v>
      </c>
      <c r="E48" s="446"/>
      <c r="F48" s="446"/>
      <c r="G48" s="446"/>
      <c r="H48" s="447">
        <f>SUM(H49:H51)</f>
        <v>0</v>
      </c>
      <c r="I48" s="453"/>
      <c r="J48" s="453"/>
      <c r="K48" s="453"/>
      <c r="L48" s="453"/>
      <c r="M48" s="450"/>
    </row>
    <row r="49" spans="1:13" ht="13.5" customHeight="1">
      <c r="A49" s="400">
        <v>31</v>
      </c>
      <c r="B49" s="400">
        <v>3</v>
      </c>
      <c r="C49" s="419" t="s">
        <v>721</v>
      </c>
      <c r="D49" s="451" t="s">
        <v>276</v>
      </c>
      <c r="E49" s="400" t="s">
        <v>258</v>
      </c>
      <c r="F49" s="401">
        <v>199.009</v>
      </c>
      <c r="G49" s="402"/>
      <c r="H49" s="402">
        <f>ROUND(F49*G49,2)</f>
        <v>0</v>
      </c>
      <c r="I49" s="453"/>
      <c r="J49" s="453"/>
      <c r="K49" s="453"/>
      <c r="L49" s="453"/>
      <c r="M49" s="450">
        <v>21</v>
      </c>
    </row>
    <row r="50" spans="1:13" ht="13.5" customHeight="1">
      <c r="A50" s="400">
        <v>32</v>
      </c>
      <c r="B50" s="400">
        <v>3</v>
      </c>
      <c r="C50" s="419" t="s">
        <v>789</v>
      </c>
      <c r="D50" s="398" t="s">
        <v>277</v>
      </c>
      <c r="E50" s="400" t="s">
        <v>258</v>
      </c>
      <c r="F50" s="401">
        <v>500.361</v>
      </c>
      <c r="G50" s="402"/>
      <c r="H50" s="402">
        <f>ROUND(F50*G50,2)</f>
        <v>0</v>
      </c>
      <c r="I50" s="453"/>
      <c r="J50" s="453"/>
      <c r="K50" s="453"/>
      <c r="L50" s="453"/>
      <c r="M50" s="450">
        <v>21</v>
      </c>
    </row>
    <row r="51" spans="1:13" ht="13.5" customHeight="1">
      <c r="A51" s="400">
        <v>33</v>
      </c>
      <c r="B51" s="400">
        <v>3</v>
      </c>
      <c r="C51" s="419" t="s">
        <v>722</v>
      </c>
      <c r="D51" s="451" t="s">
        <v>278</v>
      </c>
      <c r="E51" s="400" t="s">
        <v>247</v>
      </c>
      <c r="F51" s="401">
        <v>265.346</v>
      </c>
      <c r="G51" s="402"/>
      <c r="H51" s="402">
        <f>ROUND(F51*G51,2)</f>
        <v>0</v>
      </c>
      <c r="I51" s="453"/>
      <c r="J51" s="453"/>
      <c r="K51" s="453"/>
      <c r="L51" s="453"/>
      <c r="M51" s="450">
        <v>21</v>
      </c>
    </row>
    <row r="52" spans="1:13" ht="13.5" customHeight="1">
      <c r="A52" s="400"/>
      <c r="B52" s="446"/>
      <c r="C52" s="446" t="s">
        <v>177</v>
      </c>
      <c r="D52" s="446" t="s">
        <v>279</v>
      </c>
      <c r="E52" s="446"/>
      <c r="F52" s="446"/>
      <c r="G52" s="446"/>
      <c r="H52" s="447">
        <f>SUM(H53:H57)</f>
        <v>0</v>
      </c>
      <c r="I52" s="453"/>
      <c r="J52" s="453"/>
      <c r="K52" s="453"/>
      <c r="L52" s="453"/>
      <c r="M52" s="450"/>
    </row>
    <row r="53" spans="1:13" ht="13.5" customHeight="1">
      <c r="A53" s="400">
        <v>34</v>
      </c>
      <c r="B53" s="400">
        <v>3</v>
      </c>
      <c r="C53" s="419" t="s">
        <v>723</v>
      </c>
      <c r="D53" s="451" t="s">
        <v>280</v>
      </c>
      <c r="E53" s="400" t="s">
        <v>247</v>
      </c>
      <c r="F53" s="401">
        <v>256.5</v>
      </c>
      <c r="G53" s="402"/>
      <c r="H53" s="402">
        <f>ROUND(F53*G53,2)</f>
        <v>0</v>
      </c>
      <c r="I53" s="453"/>
      <c r="J53" s="453"/>
      <c r="K53" s="453"/>
      <c r="L53" s="453"/>
      <c r="M53" s="450">
        <v>21</v>
      </c>
    </row>
    <row r="54" spans="1:13" ht="24" customHeight="1">
      <c r="A54" s="400">
        <v>35</v>
      </c>
      <c r="B54" s="400">
        <v>3</v>
      </c>
      <c r="C54" s="419" t="s">
        <v>724</v>
      </c>
      <c r="D54" s="451" t="s">
        <v>281</v>
      </c>
      <c r="E54" s="400" t="s">
        <v>247</v>
      </c>
      <c r="F54" s="401">
        <v>256.5</v>
      </c>
      <c r="G54" s="402"/>
      <c r="H54" s="402">
        <f>ROUND(F54*G54,2)</f>
        <v>0</v>
      </c>
      <c r="I54" s="453"/>
      <c r="J54" s="453"/>
      <c r="K54" s="453"/>
      <c r="L54" s="453"/>
      <c r="M54" s="450">
        <v>21</v>
      </c>
    </row>
    <row r="55" spans="1:13" ht="24" customHeight="1">
      <c r="A55" s="400">
        <v>36</v>
      </c>
      <c r="B55" s="400">
        <v>3</v>
      </c>
      <c r="C55" s="419" t="s">
        <v>725</v>
      </c>
      <c r="D55" s="451" t="s">
        <v>282</v>
      </c>
      <c r="E55" s="400" t="s">
        <v>247</v>
      </c>
      <c r="F55" s="401">
        <v>427.5</v>
      </c>
      <c r="G55" s="402"/>
      <c r="H55" s="402">
        <f>ROUND(F55*G55,2)</f>
        <v>0</v>
      </c>
      <c r="I55" s="453"/>
      <c r="J55" s="453"/>
      <c r="K55" s="453"/>
      <c r="L55" s="453"/>
      <c r="M55" s="450">
        <v>21</v>
      </c>
    </row>
    <row r="56" spans="1:13" ht="24" customHeight="1">
      <c r="A56" s="400">
        <v>37</v>
      </c>
      <c r="B56" s="400">
        <v>3</v>
      </c>
      <c r="C56" s="419" t="s">
        <v>726</v>
      </c>
      <c r="D56" s="582" t="s">
        <v>283</v>
      </c>
      <c r="E56" s="400" t="s">
        <v>247</v>
      </c>
      <c r="F56" s="401">
        <v>427.5</v>
      </c>
      <c r="G56" s="402"/>
      <c r="H56" s="402">
        <f>ROUND(F56*G56,2)</f>
        <v>0</v>
      </c>
      <c r="I56" s="453"/>
      <c r="J56" s="453"/>
      <c r="K56" s="453"/>
      <c r="L56" s="453"/>
      <c r="M56" s="450">
        <v>21</v>
      </c>
    </row>
    <row r="57" spans="1:13" ht="13.5" customHeight="1">
      <c r="A57" s="400">
        <v>38</v>
      </c>
      <c r="B57" s="400">
        <v>3</v>
      </c>
      <c r="C57" s="419" t="s">
        <v>727</v>
      </c>
      <c r="D57" s="451" t="s">
        <v>284</v>
      </c>
      <c r="E57" s="400" t="s">
        <v>256</v>
      </c>
      <c r="F57" s="401">
        <v>342</v>
      </c>
      <c r="G57" s="402"/>
      <c r="H57" s="402">
        <f>ROUND(F57*G57,2)</f>
        <v>0</v>
      </c>
      <c r="I57" s="453"/>
      <c r="J57" s="453"/>
      <c r="K57" s="453"/>
      <c r="L57" s="453"/>
      <c r="M57" s="450">
        <v>21</v>
      </c>
    </row>
    <row r="58" spans="1:13" ht="13.5" customHeight="1">
      <c r="A58" s="400"/>
      <c r="B58" s="446"/>
      <c r="C58" s="446" t="s">
        <v>157</v>
      </c>
      <c r="D58" s="446" t="s">
        <v>285</v>
      </c>
      <c r="E58" s="446"/>
      <c r="F58" s="446"/>
      <c r="G58" s="446"/>
      <c r="H58" s="447">
        <f>SUM(H59:H82)</f>
        <v>0</v>
      </c>
      <c r="I58" s="453"/>
      <c r="J58" s="453"/>
      <c r="K58" s="453"/>
      <c r="L58" s="453"/>
      <c r="M58" s="450"/>
    </row>
    <row r="59" spans="1:13" ht="13.5" customHeight="1">
      <c r="A59" s="400">
        <v>39</v>
      </c>
      <c r="B59" s="400">
        <v>3</v>
      </c>
      <c r="C59" s="419" t="s">
        <v>728</v>
      </c>
      <c r="D59" s="451" t="s">
        <v>286</v>
      </c>
      <c r="E59" s="400" t="s">
        <v>256</v>
      </c>
      <c r="F59" s="401">
        <v>1667.87</v>
      </c>
      <c r="G59" s="402"/>
      <c r="H59" s="402">
        <f aca="true" t="shared" si="6" ref="H59:H74">ROUND(F59*G59,2)</f>
        <v>0</v>
      </c>
      <c r="I59" s="453"/>
      <c r="J59" s="453"/>
      <c r="K59" s="453"/>
      <c r="L59" s="453"/>
      <c r="M59" s="450">
        <v>21</v>
      </c>
    </row>
    <row r="60" spans="1:13" ht="13.5" customHeight="1">
      <c r="A60" s="400">
        <v>40</v>
      </c>
      <c r="B60" s="400">
        <v>3</v>
      </c>
      <c r="C60" s="419" t="s">
        <v>169</v>
      </c>
      <c r="D60" s="451" t="s">
        <v>366</v>
      </c>
      <c r="E60" s="400" t="s">
        <v>256</v>
      </c>
      <c r="F60" s="401">
        <v>20.61</v>
      </c>
      <c r="G60" s="402"/>
      <c r="H60" s="402">
        <f t="shared" si="6"/>
        <v>0</v>
      </c>
      <c r="I60" s="453"/>
      <c r="J60" s="453"/>
      <c r="K60" s="453"/>
      <c r="L60" s="453"/>
      <c r="M60" s="450">
        <v>21</v>
      </c>
    </row>
    <row r="61" spans="1:13" ht="24" customHeight="1">
      <c r="A61" s="400">
        <v>41</v>
      </c>
      <c r="B61" s="400">
        <v>3</v>
      </c>
      <c r="C61" s="419" t="s">
        <v>729</v>
      </c>
      <c r="D61" s="451" t="s">
        <v>367</v>
      </c>
      <c r="E61" s="400" t="s">
        <v>256</v>
      </c>
      <c r="F61" s="401">
        <v>1667.87</v>
      </c>
      <c r="G61" s="402"/>
      <c r="H61" s="402">
        <f t="shared" si="6"/>
        <v>0</v>
      </c>
      <c r="I61" s="453"/>
      <c r="J61" s="453"/>
      <c r="K61" s="453"/>
      <c r="L61" s="453"/>
      <c r="M61" s="450">
        <v>21</v>
      </c>
    </row>
    <row r="62" spans="1:13" ht="13.5" customHeight="1">
      <c r="A62" s="400">
        <v>42</v>
      </c>
      <c r="B62" s="400">
        <v>3</v>
      </c>
      <c r="C62" s="419" t="s">
        <v>730</v>
      </c>
      <c r="D62" s="451" t="s">
        <v>368</v>
      </c>
      <c r="E62" s="400" t="s">
        <v>256</v>
      </c>
      <c r="F62" s="401">
        <v>1692.888</v>
      </c>
      <c r="G62" s="402"/>
      <c r="H62" s="402">
        <f t="shared" si="6"/>
        <v>0</v>
      </c>
      <c r="I62" s="453"/>
      <c r="J62" s="453"/>
      <c r="K62" s="453"/>
      <c r="L62" s="453"/>
      <c r="M62" s="450">
        <v>21</v>
      </c>
    </row>
    <row r="63" spans="1:13" ht="24" customHeight="1">
      <c r="A63" s="400">
        <v>43</v>
      </c>
      <c r="B63" s="400">
        <v>3</v>
      </c>
      <c r="C63" s="419" t="s">
        <v>731</v>
      </c>
      <c r="D63" s="451" t="s">
        <v>316</v>
      </c>
      <c r="E63" s="400" t="s">
        <v>317</v>
      </c>
      <c r="F63" s="401">
        <v>1</v>
      </c>
      <c r="G63" s="402"/>
      <c r="H63" s="402">
        <f t="shared" si="6"/>
        <v>0</v>
      </c>
      <c r="I63" s="453"/>
      <c r="J63" s="453"/>
      <c r="K63" s="453"/>
      <c r="L63" s="453"/>
      <c r="M63" s="450">
        <v>21</v>
      </c>
    </row>
    <row r="64" spans="1:13" ht="13.5" customHeight="1">
      <c r="A64" s="400">
        <v>44</v>
      </c>
      <c r="B64" s="400">
        <v>3</v>
      </c>
      <c r="C64" s="419" t="s">
        <v>732</v>
      </c>
      <c r="D64" s="451" t="s">
        <v>318</v>
      </c>
      <c r="E64" s="400" t="s">
        <v>317</v>
      </c>
      <c r="F64" s="401">
        <v>1</v>
      </c>
      <c r="G64" s="402"/>
      <c r="H64" s="402">
        <f t="shared" si="6"/>
        <v>0</v>
      </c>
      <c r="I64" s="453"/>
      <c r="J64" s="453"/>
      <c r="K64" s="453"/>
      <c r="L64" s="453"/>
      <c r="M64" s="450">
        <v>21</v>
      </c>
    </row>
    <row r="65" spans="1:13" ht="24" customHeight="1">
      <c r="A65" s="400">
        <v>45</v>
      </c>
      <c r="B65" s="400">
        <v>3</v>
      </c>
      <c r="C65" s="419" t="s">
        <v>733</v>
      </c>
      <c r="D65" s="451" t="s">
        <v>369</v>
      </c>
      <c r="E65" s="400" t="s">
        <v>317</v>
      </c>
      <c r="F65" s="401">
        <v>1</v>
      </c>
      <c r="G65" s="402"/>
      <c r="H65" s="402">
        <f t="shared" si="6"/>
        <v>0</v>
      </c>
      <c r="I65" s="453"/>
      <c r="J65" s="453"/>
      <c r="K65" s="453"/>
      <c r="L65" s="453"/>
      <c r="M65" s="450">
        <v>21</v>
      </c>
    </row>
    <row r="66" spans="1:13" ht="24" customHeight="1">
      <c r="A66" s="400">
        <v>46</v>
      </c>
      <c r="B66" s="400">
        <v>3</v>
      </c>
      <c r="C66" s="419" t="s">
        <v>734</v>
      </c>
      <c r="D66" s="451" t="s">
        <v>370</v>
      </c>
      <c r="E66" s="400" t="s">
        <v>317</v>
      </c>
      <c r="F66" s="401">
        <v>1</v>
      </c>
      <c r="G66" s="402"/>
      <c r="H66" s="402">
        <f t="shared" si="6"/>
        <v>0</v>
      </c>
      <c r="I66" s="453"/>
      <c r="J66" s="453"/>
      <c r="K66" s="453"/>
      <c r="L66" s="453"/>
      <c r="M66" s="450">
        <v>21</v>
      </c>
    </row>
    <row r="67" spans="1:13" ht="24" customHeight="1">
      <c r="A67" s="400">
        <v>47</v>
      </c>
      <c r="B67" s="400">
        <v>3</v>
      </c>
      <c r="C67" s="419" t="s">
        <v>735</v>
      </c>
      <c r="D67" s="451" t="s">
        <v>371</v>
      </c>
      <c r="E67" s="400" t="s">
        <v>274</v>
      </c>
      <c r="F67" s="401">
        <v>3</v>
      </c>
      <c r="G67" s="402"/>
      <c r="H67" s="402">
        <f t="shared" si="6"/>
        <v>0</v>
      </c>
      <c r="I67" s="453"/>
      <c r="J67" s="453"/>
      <c r="K67" s="453"/>
      <c r="L67" s="453"/>
      <c r="M67" s="450">
        <v>21</v>
      </c>
    </row>
    <row r="68" spans="1:13" ht="24" customHeight="1">
      <c r="A68" s="400">
        <v>48</v>
      </c>
      <c r="B68" s="400">
        <v>3</v>
      </c>
      <c r="C68" s="419" t="s">
        <v>736</v>
      </c>
      <c r="D68" s="451" t="s">
        <v>327</v>
      </c>
      <c r="E68" s="400" t="s">
        <v>274</v>
      </c>
      <c r="F68" s="401">
        <v>14</v>
      </c>
      <c r="G68" s="402"/>
      <c r="H68" s="402">
        <f t="shared" si="6"/>
        <v>0</v>
      </c>
      <c r="I68" s="453"/>
      <c r="J68" s="453"/>
      <c r="K68" s="453"/>
      <c r="L68" s="453"/>
      <c r="M68" s="450">
        <v>21</v>
      </c>
    </row>
    <row r="69" spans="1:13" ht="24" customHeight="1">
      <c r="A69" s="400">
        <v>49</v>
      </c>
      <c r="B69" s="400">
        <v>3</v>
      </c>
      <c r="C69" s="419" t="s">
        <v>737</v>
      </c>
      <c r="D69" s="451" t="s">
        <v>329</v>
      </c>
      <c r="E69" s="400" t="s">
        <v>274</v>
      </c>
      <c r="F69" s="401">
        <v>22</v>
      </c>
      <c r="G69" s="402"/>
      <c r="H69" s="402">
        <f t="shared" si="6"/>
        <v>0</v>
      </c>
      <c r="I69" s="453"/>
      <c r="J69" s="453"/>
      <c r="K69" s="453"/>
      <c r="L69" s="453"/>
      <c r="M69" s="450">
        <v>21</v>
      </c>
    </row>
    <row r="70" spans="1:13" ht="24" customHeight="1">
      <c r="A70" s="400">
        <v>50</v>
      </c>
      <c r="B70" s="400">
        <v>3</v>
      </c>
      <c r="C70" s="419" t="s">
        <v>738</v>
      </c>
      <c r="D70" s="451" t="s">
        <v>375</v>
      </c>
      <c r="E70" s="400" t="s">
        <v>274</v>
      </c>
      <c r="F70" s="401">
        <v>2</v>
      </c>
      <c r="G70" s="402"/>
      <c r="H70" s="402">
        <f t="shared" si="6"/>
        <v>0</v>
      </c>
      <c r="I70" s="453"/>
      <c r="J70" s="453"/>
      <c r="K70" s="453"/>
      <c r="L70" s="453"/>
      <c r="M70" s="450">
        <v>21</v>
      </c>
    </row>
    <row r="71" spans="1:13" ht="24" customHeight="1">
      <c r="A71" s="400">
        <v>51</v>
      </c>
      <c r="B71" s="400">
        <v>3</v>
      </c>
      <c r="C71" s="419" t="s">
        <v>739</v>
      </c>
      <c r="D71" s="451" t="s">
        <v>333</v>
      </c>
      <c r="E71" s="400" t="s">
        <v>317</v>
      </c>
      <c r="F71" s="401">
        <v>41</v>
      </c>
      <c r="G71" s="402"/>
      <c r="H71" s="402">
        <f t="shared" si="6"/>
        <v>0</v>
      </c>
      <c r="I71" s="453"/>
      <c r="J71" s="453"/>
      <c r="K71" s="453"/>
      <c r="L71" s="453"/>
      <c r="M71" s="450">
        <v>21</v>
      </c>
    </row>
    <row r="72" spans="1:13" ht="13.5" customHeight="1">
      <c r="A72" s="400">
        <v>52</v>
      </c>
      <c r="B72" s="400">
        <v>3</v>
      </c>
      <c r="C72" s="419" t="s">
        <v>740</v>
      </c>
      <c r="D72" s="451" t="s">
        <v>335</v>
      </c>
      <c r="E72" s="400" t="s">
        <v>274</v>
      </c>
      <c r="F72" s="401">
        <v>8</v>
      </c>
      <c r="G72" s="402"/>
      <c r="H72" s="402">
        <f t="shared" si="6"/>
        <v>0</v>
      </c>
      <c r="I72" s="453"/>
      <c r="J72" s="453"/>
      <c r="K72" s="453"/>
      <c r="L72" s="453"/>
      <c r="M72" s="450">
        <v>21</v>
      </c>
    </row>
    <row r="73" spans="1:13" ht="13.5" customHeight="1">
      <c r="A73" s="400">
        <v>53</v>
      </c>
      <c r="B73" s="400">
        <v>3</v>
      </c>
      <c r="C73" s="419" t="s">
        <v>741</v>
      </c>
      <c r="D73" s="451" t="s">
        <v>379</v>
      </c>
      <c r="E73" s="400" t="s">
        <v>274</v>
      </c>
      <c r="F73" s="401">
        <v>33</v>
      </c>
      <c r="G73" s="402"/>
      <c r="H73" s="402">
        <f t="shared" si="6"/>
        <v>0</v>
      </c>
      <c r="I73" s="453"/>
      <c r="J73" s="453"/>
      <c r="K73" s="453"/>
      <c r="L73" s="453"/>
      <c r="M73" s="450">
        <v>21</v>
      </c>
    </row>
    <row r="74" spans="1:13" ht="24" customHeight="1">
      <c r="A74" s="400">
        <v>54</v>
      </c>
      <c r="B74" s="400">
        <v>3</v>
      </c>
      <c r="C74" s="419" t="s">
        <v>742</v>
      </c>
      <c r="D74" s="451" t="s">
        <v>337</v>
      </c>
      <c r="E74" s="400" t="s">
        <v>258</v>
      </c>
      <c r="F74" s="401">
        <v>1085.264</v>
      </c>
      <c r="G74" s="402"/>
      <c r="H74" s="402">
        <f t="shared" si="6"/>
        <v>0</v>
      </c>
      <c r="I74" s="453"/>
      <c r="J74" s="453"/>
      <c r="K74" s="453"/>
      <c r="L74" s="453"/>
      <c r="M74" s="450">
        <v>21</v>
      </c>
    </row>
    <row r="75" spans="1:13" ht="22.5" customHeight="1">
      <c r="A75" s="400">
        <v>55</v>
      </c>
      <c r="B75" s="400">
        <v>3</v>
      </c>
      <c r="C75" s="419" t="s">
        <v>743</v>
      </c>
      <c r="D75" s="451" t="s">
        <v>382</v>
      </c>
      <c r="E75" s="400" t="s">
        <v>258</v>
      </c>
      <c r="F75" s="401">
        <v>14.724</v>
      </c>
      <c r="G75" s="402"/>
      <c r="H75" s="402">
        <f aca="true" t="shared" si="7" ref="H75:H82">ROUND(F75*G75,2)</f>
        <v>0</v>
      </c>
      <c r="I75" s="453"/>
      <c r="J75" s="453"/>
      <c r="K75" s="453"/>
      <c r="L75" s="453"/>
      <c r="M75" s="450">
        <v>21</v>
      </c>
    </row>
    <row r="76" spans="1:13" ht="13.5" customHeight="1">
      <c r="A76" s="400">
        <v>56</v>
      </c>
      <c r="B76" s="400">
        <v>3</v>
      </c>
      <c r="C76" s="419" t="s">
        <v>744</v>
      </c>
      <c r="D76" s="451" t="s">
        <v>339</v>
      </c>
      <c r="E76" s="400" t="s">
        <v>247</v>
      </c>
      <c r="F76" s="401">
        <v>951.793</v>
      </c>
      <c r="G76" s="402"/>
      <c r="H76" s="402">
        <f t="shared" si="7"/>
        <v>0</v>
      </c>
      <c r="I76" s="453"/>
      <c r="J76" s="453"/>
      <c r="K76" s="453"/>
      <c r="L76" s="453"/>
      <c r="M76" s="450">
        <v>21</v>
      </c>
    </row>
    <row r="77" spans="1:13" ht="13.5" customHeight="1">
      <c r="A77" s="400">
        <v>57</v>
      </c>
      <c r="B77" s="400">
        <v>3</v>
      </c>
      <c r="C77" s="419" t="s">
        <v>745</v>
      </c>
      <c r="D77" s="451" t="s">
        <v>385</v>
      </c>
      <c r="E77" s="400" t="s">
        <v>274</v>
      </c>
      <c r="F77" s="401">
        <v>1</v>
      </c>
      <c r="G77" s="402"/>
      <c r="H77" s="402">
        <f t="shared" si="7"/>
        <v>0</v>
      </c>
      <c r="I77" s="453"/>
      <c r="J77" s="453"/>
      <c r="K77" s="453"/>
      <c r="L77" s="453"/>
      <c r="M77" s="450">
        <v>21</v>
      </c>
    </row>
    <row r="78" spans="1:13" ht="24" customHeight="1">
      <c r="A78" s="400">
        <v>58</v>
      </c>
      <c r="B78" s="400">
        <v>3</v>
      </c>
      <c r="C78" s="419" t="s">
        <v>746</v>
      </c>
      <c r="D78" s="451" t="s">
        <v>341</v>
      </c>
      <c r="E78" s="400" t="s">
        <v>342</v>
      </c>
      <c r="F78" s="401">
        <v>41</v>
      </c>
      <c r="G78" s="402"/>
      <c r="H78" s="402">
        <f t="shared" si="7"/>
        <v>0</v>
      </c>
      <c r="I78" s="453"/>
      <c r="J78" s="453"/>
      <c r="K78" s="453"/>
      <c r="L78" s="453"/>
      <c r="M78" s="450">
        <v>21</v>
      </c>
    </row>
    <row r="79" spans="1:13" ht="13.5" customHeight="1">
      <c r="A79" s="400">
        <v>59</v>
      </c>
      <c r="B79" s="400">
        <v>3</v>
      </c>
      <c r="C79" s="419" t="s">
        <v>747</v>
      </c>
      <c r="D79" s="451" t="s">
        <v>388</v>
      </c>
      <c r="E79" s="400" t="s">
        <v>256</v>
      </c>
      <c r="F79" s="401">
        <v>660</v>
      </c>
      <c r="G79" s="402"/>
      <c r="H79" s="402">
        <f t="shared" si="7"/>
        <v>0</v>
      </c>
      <c r="I79" s="453"/>
      <c r="J79" s="453"/>
      <c r="K79" s="453"/>
      <c r="L79" s="453"/>
      <c r="M79" s="450">
        <v>21</v>
      </c>
    </row>
    <row r="80" spans="1:13" ht="13.5" customHeight="1">
      <c r="A80" s="400">
        <v>60</v>
      </c>
      <c r="B80" s="400">
        <v>3</v>
      </c>
      <c r="C80" s="419" t="s">
        <v>747</v>
      </c>
      <c r="D80" s="451" t="s">
        <v>1014</v>
      </c>
      <c r="E80" s="400" t="s">
        <v>342</v>
      </c>
      <c r="F80" s="401">
        <v>1</v>
      </c>
      <c r="G80" s="402"/>
      <c r="H80" s="402">
        <f t="shared" si="7"/>
        <v>0</v>
      </c>
      <c r="I80" s="453"/>
      <c r="J80" s="453"/>
      <c r="K80" s="453"/>
      <c r="L80" s="453"/>
      <c r="M80" s="450">
        <v>21</v>
      </c>
    </row>
    <row r="81" spans="1:13" ht="13.5" customHeight="1">
      <c r="A81" s="400">
        <v>61</v>
      </c>
      <c r="B81" s="400">
        <v>3</v>
      </c>
      <c r="C81" s="419" t="s">
        <v>748</v>
      </c>
      <c r="D81" s="451" t="s">
        <v>390</v>
      </c>
      <c r="E81" s="400" t="s">
        <v>256</v>
      </c>
      <c r="F81" s="401">
        <v>288</v>
      </c>
      <c r="G81" s="402"/>
      <c r="H81" s="402">
        <f t="shared" si="7"/>
        <v>0</v>
      </c>
      <c r="I81" s="453"/>
      <c r="J81" s="453"/>
      <c r="K81" s="453"/>
      <c r="L81" s="453"/>
      <c r="M81" s="450">
        <v>21</v>
      </c>
    </row>
    <row r="82" spans="1:13" ht="13.5" customHeight="1">
      <c r="A82" s="400">
        <v>62</v>
      </c>
      <c r="B82" s="400">
        <v>3</v>
      </c>
      <c r="C82" s="419" t="s">
        <v>749</v>
      </c>
      <c r="D82" s="451" t="s">
        <v>392</v>
      </c>
      <c r="E82" s="400" t="s">
        <v>274</v>
      </c>
      <c r="F82" s="401">
        <v>33</v>
      </c>
      <c r="G82" s="402"/>
      <c r="H82" s="402">
        <f t="shared" si="7"/>
        <v>0</v>
      </c>
      <c r="I82" s="453"/>
      <c r="J82" s="453"/>
      <c r="K82" s="453"/>
      <c r="L82" s="453"/>
      <c r="M82" s="450">
        <v>21</v>
      </c>
    </row>
    <row r="83" spans="1:13" ht="13.5" customHeight="1">
      <c r="A83" s="400"/>
      <c r="B83" s="446"/>
      <c r="C83" s="446" t="s">
        <v>163</v>
      </c>
      <c r="D83" s="446" t="s">
        <v>291</v>
      </c>
      <c r="E83" s="446"/>
      <c r="F83" s="446"/>
      <c r="G83" s="446"/>
      <c r="H83" s="447">
        <f>SUM(H84:H87)</f>
        <v>0</v>
      </c>
      <c r="I83" s="453"/>
      <c r="J83" s="453"/>
      <c r="K83" s="453"/>
      <c r="L83" s="453"/>
      <c r="M83" s="450"/>
    </row>
    <row r="84" spans="1:13" ht="13.5" customHeight="1">
      <c r="A84" s="400">
        <v>63</v>
      </c>
      <c r="B84" s="400">
        <v>3</v>
      </c>
      <c r="C84" s="419" t="s">
        <v>750</v>
      </c>
      <c r="D84" s="451" t="s">
        <v>293</v>
      </c>
      <c r="E84" s="400" t="s">
        <v>256</v>
      </c>
      <c r="F84" s="401">
        <v>342</v>
      </c>
      <c r="G84" s="402"/>
      <c r="H84" s="402">
        <f>ROUND(F84*G84,2)</f>
        <v>0</v>
      </c>
      <c r="I84" s="453"/>
      <c r="J84" s="453"/>
      <c r="K84" s="453"/>
      <c r="L84" s="453"/>
      <c r="M84" s="450">
        <v>21</v>
      </c>
    </row>
    <row r="85" spans="1:13" ht="13.5" customHeight="1">
      <c r="A85" s="400">
        <v>64</v>
      </c>
      <c r="B85" s="400">
        <v>3</v>
      </c>
      <c r="C85" s="419" t="s">
        <v>751</v>
      </c>
      <c r="D85" s="451" t="s">
        <v>295</v>
      </c>
      <c r="E85" s="400" t="s">
        <v>268</v>
      </c>
      <c r="F85" s="401">
        <v>359.784</v>
      </c>
      <c r="G85" s="402"/>
      <c r="H85" s="402">
        <f>ROUND(F85*G85,2)</f>
        <v>0</v>
      </c>
      <c r="I85" s="453"/>
      <c r="J85" s="453"/>
      <c r="K85" s="453"/>
      <c r="L85" s="453"/>
      <c r="M85" s="450">
        <v>21</v>
      </c>
    </row>
    <row r="86" spans="1:13" ht="13.5" customHeight="1">
      <c r="A86" s="400">
        <v>65</v>
      </c>
      <c r="B86" s="400">
        <v>3</v>
      </c>
      <c r="C86" s="419" t="s">
        <v>752</v>
      </c>
      <c r="D86" s="451" t="s">
        <v>297</v>
      </c>
      <c r="E86" s="400" t="s">
        <v>268</v>
      </c>
      <c r="F86" s="401">
        <v>3238.056</v>
      </c>
      <c r="G86" s="402"/>
      <c r="H86" s="402">
        <f>ROUND(F86*G86,2)</f>
        <v>0</v>
      </c>
      <c r="I86" s="453"/>
      <c r="J86" s="453"/>
      <c r="K86" s="453"/>
      <c r="L86" s="453"/>
      <c r="M86" s="450">
        <v>21</v>
      </c>
    </row>
    <row r="87" spans="1:13" ht="13.5" customHeight="1">
      <c r="A87" s="400">
        <v>66</v>
      </c>
      <c r="B87" s="400">
        <v>3</v>
      </c>
      <c r="C87" s="419" t="s">
        <v>753</v>
      </c>
      <c r="D87" s="451" t="s">
        <v>299</v>
      </c>
      <c r="E87" s="400" t="s">
        <v>268</v>
      </c>
      <c r="F87" s="401">
        <v>359.784</v>
      </c>
      <c r="G87" s="402"/>
      <c r="H87" s="402">
        <f>ROUND(F87*G87,2)</f>
        <v>0</v>
      </c>
      <c r="I87" s="453"/>
      <c r="J87" s="453"/>
      <c r="K87" s="453"/>
      <c r="L87" s="453"/>
      <c r="M87" s="450">
        <v>21</v>
      </c>
    </row>
    <row r="88" spans="1:13" ht="13.5" customHeight="1">
      <c r="A88" s="400"/>
      <c r="B88" s="446"/>
      <c r="C88" s="446" t="s">
        <v>300</v>
      </c>
      <c r="D88" s="446" t="s">
        <v>301</v>
      </c>
      <c r="E88" s="446"/>
      <c r="F88" s="446"/>
      <c r="G88" s="446"/>
      <c r="H88" s="447">
        <f>H89</f>
        <v>0</v>
      </c>
      <c r="I88" s="453"/>
      <c r="J88" s="453"/>
      <c r="K88" s="453"/>
      <c r="L88" s="453"/>
      <c r="M88" s="450"/>
    </row>
    <row r="89" spans="1:13" ht="13.5" customHeight="1">
      <c r="A89" s="400">
        <v>67</v>
      </c>
      <c r="B89" s="400">
        <v>3</v>
      </c>
      <c r="C89" s="419" t="s">
        <v>754</v>
      </c>
      <c r="D89" s="451" t="s">
        <v>303</v>
      </c>
      <c r="E89" s="400" t="s">
        <v>268</v>
      </c>
      <c r="F89" s="401">
        <v>1673.65</v>
      </c>
      <c r="G89" s="402"/>
      <c r="H89" s="402">
        <f>ROUND(F89*G89,2)</f>
        <v>0</v>
      </c>
      <c r="I89" s="453"/>
      <c r="J89" s="453"/>
      <c r="K89" s="453"/>
      <c r="L89" s="453"/>
      <c r="M89" s="450">
        <v>21</v>
      </c>
    </row>
    <row r="90" spans="1:13" ht="13.5" customHeight="1">
      <c r="A90" s="400"/>
      <c r="B90" s="446"/>
      <c r="C90" s="446" t="s">
        <v>266</v>
      </c>
      <c r="D90" s="446" t="s">
        <v>304</v>
      </c>
      <c r="E90" s="446"/>
      <c r="F90" s="446"/>
      <c r="G90" s="446"/>
      <c r="H90" s="447">
        <f>H91</f>
        <v>0</v>
      </c>
      <c r="I90" s="453"/>
      <c r="J90" s="453"/>
      <c r="K90" s="453"/>
      <c r="L90" s="453"/>
      <c r="M90" s="450"/>
    </row>
    <row r="91" spans="1:13" ht="13.5" customHeight="1">
      <c r="A91" s="400"/>
      <c r="B91" s="446"/>
      <c r="C91" s="446" t="s">
        <v>305</v>
      </c>
      <c r="D91" s="446" t="s">
        <v>306</v>
      </c>
      <c r="E91" s="446"/>
      <c r="F91" s="446"/>
      <c r="G91" s="446"/>
      <c r="H91" s="447">
        <f>SUM(H92:H93)</f>
        <v>0</v>
      </c>
      <c r="I91" s="453"/>
      <c r="J91" s="453"/>
      <c r="K91" s="453"/>
      <c r="L91" s="453"/>
      <c r="M91" s="450"/>
    </row>
    <row r="92" spans="1:13" ht="13.5" customHeight="1">
      <c r="A92" s="400">
        <v>68</v>
      </c>
      <c r="B92" s="400">
        <v>3</v>
      </c>
      <c r="C92" s="419" t="s">
        <v>755</v>
      </c>
      <c r="D92" s="451" t="s">
        <v>396</v>
      </c>
      <c r="E92" s="400" t="s">
        <v>309</v>
      </c>
      <c r="F92" s="401">
        <v>41</v>
      </c>
      <c r="G92" s="402"/>
      <c r="H92" s="402">
        <f>ROUND(F92*G92,2)</f>
        <v>0</v>
      </c>
      <c r="I92" s="453"/>
      <c r="J92" s="453"/>
      <c r="K92" s="453"/>
      <c r="L92" s="453"/>
      <c r="M92" s="450">
        <v>21</v>
      </c>
    </row>
    <row r="93" spans="1:13" ht="13.5" customHeight="1">
      <c r="A93" s="400">
        <v>69</v>
      </c>
      <c r="B93" s="400">
        <v>3</v>
      </c>
      <c r="C93" s="419" t="s">
        <v>756</v>
      </c>
      <c r="D93" s="451" t="s">
        <v>998</v>
      </c>
      <c r="E93" s="400" t="s">
        <v>256</v>
      </c>
      <c r="F93" s="401">
        <v>1667.87</v>
      </c>
      <c r="G93" s="402"/>
      <c r="H93" s="402">
        <f>ROUND(F93*G93,2)</f>
        <v>0</v>
      </c>
      <c r="I93" s="453"/>
      <c r="J93" s="453"/>
      <c r="K93" s="453"/>
      <c r="L93" s="453"/>
      <c r="M93" s="450">
        <v>21</v>
      </c>
    </row>
    <row r="94" spans="1:13" ht="13.5" customHeight="1">
      <c r="A94" s="400"/>
      <c r="B94" s="399"/>
      <c r="C94" s="399"/>
      <c r="D94" s="399" t="s">
        <v>124</v>
      </c>
      <c r="E94" s="399"/>
      <c r="F94" s="399"/>
      <c r="G94" s="399"/>
      <c r="H94" s="454">
        <f>H14+H90</f>
        <v>0</v>
      </c>
      <c r="I94" s="453"/>
      <c r="J94" s="453"/>
      <c r="K94" s="453"/>
      <c r="L94" s="453"/>
      <c r="M94" s="450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W37" sqref="W37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397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92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SUMIF('[4]Rozpocet'!O5:O65535,8,'[4]Rozpocet'!I5:I65535)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2655.34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SUMIF('[4]Rozpocet'!O10:O65536,4,'[4]Rozpocet'!I10:I65536)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SUMIF('[4]Rozpocet'!O11:O65536,32,'[4]Rozpocet'!I11:I65536)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SUMIF('[4]Rozpocet'!O12:O65536,16,'[4]Rozpocet'!I12:I65536)+SUMIF('[4]Rozpocet'!O12:O65536,128,'[4]Rozpocet'!I12:I65536)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SUMIF('[4]Rozpocet'!O13:O65536,256,'[4]Rozpocet'!I13:I65536)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SUMIF('[4]Rozpocet'!O14:O65536,64,'[4]Rozpocet'!I14:I65536)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SUMIF('[4]Rozpocet'!O14:O65536,1024,'[4]Rozpocet'!I14:I65536)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SUMIF('[4]Rozpocet'!O14:O65536,512,'[4]Rozpocet'!I14:I65536)</f>
        <v>#VALUE!</v>
      </c>
      <c r="F45" s="223"/>
      <c r="G45" s="267">
        <v>21</v>
      </c>
      <c r="H45" s="268" t="s">
        <v>193</v>
      </c>
      <c r="I45" s="270"/>
      <c r="J45" s="272">
        <v>1591.98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SUMIF('[4]Rozpocet'!O14:O65536,"&lt;4",'[4]Rozpocet'!I14:I65536)+SUMIF('[4]Rozpocet'!O14:O65536,"&gt;1024",'[4]Rozpocet'!I14:I65536)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SUMIF('[4]Rozpocet'!N14:N65536,M49,'[4]Rozpocet'!I14:I65536)+SUMIF(P38:P42,M49,R38:R42)+IF(K45=M49,J45,0)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362204724409449" right="0.2362204724409449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'[4]Krycí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'[4]Krycí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'[4]Krycí list'!E9</f>
        <v>SO 01 Stoka RA SKL DN 400</v>
      </c>
      <c r="C4" s="301"/>
      <c r="D4" s="299"/>
      <c r="E4" s="302"/>
    </row>
    <row r="5" spans="1:5" ht="12" customHeight="1">
      <c r="A5" s="299" t="s">
        <v>227</v>
      </c>
      <c r="B5" s="299" t="str">
        <f>'[4]Krycí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'[4]Krycí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'[4]Krycí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'[4]Rozpocet'!D14</f>
        <v>HSV</v>
      </c>
      <c r="B14" s="315" t="str">
        <f>'[4]Rozpocet'!E14</f>
        <v>Práce a dodávky HSV</v>
      </c>
      <c r="C14" s="316">
        <f>'[4]Rozpocet'!I14</f>
        <v>102422.58</v>
      </c>
      <c r="D14" s="317">
        <f>'[4]Rozpocet'!K14</f>
        <v>0.6408</v>
      </c>
      <c r="E14" s="317">
        <f>'[4]Rozpocet'!M14</f>
        <v>0</v>
      </c>
    </row>
    <row r="15" spans="1:5" s="318" customFormat="1" ht="12.75" customHeight="1">
      <c r="A15" s="319" t="str">
        <f>'[4]Rozpocet'!D15</f>
        <v>1-1</v>
      </c>
      <c r="B15" s="320" t="str">
        <f>'[4]Rozpocet'!E15</f>
        <v>Protlak</v>
      </c>
      <c r="C15" s="321">
        <f>'[4]Rozpocet'!I15</f>
        <v>10500</v>
      </c>
      <c r="D15" s="322">
        <f>'[4]Rozpocet'!K15</f>
        <v>0</v>
      </c>
      <c r="E15" s="322">
        <f>'[4]Rozpocet'!M15</f>
        <v>0</v>
      </c>
    </row>
    <row r="16" spans="1:5" s="318" customFormat="1" ht="12.75" customHeight="1">
      <c r="A16" s="319" t="str">
        <f>'[4]Rozpocet'!D17</f>
        <v>8</v>
      </c>
      <c r="B16" s="320" t="str">
        <f>'[4]Rozpocet'!E17</f>
        <v>Trubní vedení</v>
      </c>
      <c r="C16" s="321">
        <f>'[4]Rozpocet'!I17</f>
        <v>91821.3</v>
      </c>
      <c r="D16" s="322">
        <f>'[4]Rozpocet'!K17</f>
        <v>0.6408</v>
      </c>
      <c r="E16" s="322">
        <f>'[4]Rozpocet'!M17</f>
        <v>0</v>
      </c>
    </row>
    <row r="17" spans="1:5" s="318" customFormat="1" ht="12.75" customHeight="1">
      <c r="A17" s="319" t="str">
        <f>'[4]Rozpocet'!D20</f>
        <v>99</v>
      </c>
      <c r="B17" s="320" t="str">
        <f>'[4]Rozpocet'!E20</f>
        <v>Přesun hmot</v>
      </c>
      <c r="C17" s="321">
        <f>'[4]Rozpocet'!I20</f>
        <v>101.28</v>
      </c>
      <c r="D17" s="322">
        <f>'[4]Rozpocet'!K20</f>
        <v>0</v>
      </c>
      <c r="E17" s="322">
        <f>'[4]Rozpocet'!M20</f>
        <v>0</v>
      </c>
    </row>
    <row r="18" spans="1:5" s="318" customFormat="1" ht="12.75" customHeight="1">
      <c r="A18" s="314" t="str">
        <f>'[4]Rozpocet'!D22</f>
        <v>M</v>
      </c>
      <c r="B18" s="315" t="str">
        <f>'[4]Rozpocet'!E22</f>
        <v>Práce a dodávky M</v>
      </c>
      <c r="C18" s="316">
        <f>'[4]Rozpocet'!I22</f>
        <v>8216.76</v>
      </c>
      <c r="D18" s="317">
        <f>'[4]Rozpocet'!K22</f>
        <v>0</v>
      </c>
      <c r="E18" s="317">
        <f>'[4]Rozpocet'!M22</f>
        <v>0</v>
      </c>
    </row>
    <row r="19" spans="1:5" s="318" customFormat="1" ht="12.75" customHeight="1">
      <c r="A19" s="319" t="str">
        <f>'[4]Rozpocet'!D23</f>
        <v>23-M</v>
      </c>
      <c r="B19" s="320" t="str">
        <f>'[4]Rozpocet'!E23</f>
        <v>Montáže potrubí</v>
      </c>
      <c r="C19" s="321">
        <f>'[4]Rozpocet'!I23</f>
        <v>8216.76</v>
      </c>
      <c r="D19" s="322">
        <f>'[4]Rozpocet'!K23</f>
        <v>0</v>
      </c>
      <c r="E19" s="322">
        <f>'[4]Rozpocet'!M23</f>
        <v>0</v>
      </c>
    </row>
    <row r="20" spans="2:5" s="323" customFormat="1" ht="12.75" customHeight="1">
      <c r="B20" s="324" t="s">
        <v>124</v>
      </c>
      <c r="C20" s="325">
        <f>'[4]Rozpocet'!I26</f>
        <v>110639.34</v>
      </c>
      <c r="D20" s="326">
        <f>'[4]Rozpocet'!K26</f>
        <v>0.6408</v>
      </c>
      <c r="E20" s="326">
        <f>'[4]Rozpocet'!M26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view="pageBreakPreview" zoomScaleSheetLayoutView="100" zoomScalePageLayoutView="0" workbookViewId="0" topLeftCell="A1">
      <selection activeCell="A36" sqref="A36:IV36"/>
    </sheetView>
  </sheetViews>
  <sheetFormatPr defaultColWidth="9.140625" defaultRowHeight="11.25" customHeight="1"/>
  <cols>
    <col min="1" max="1" width="9.57421875" style="184" customWidth="1"/>
    <col min="2" max="2" width="5.2812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29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5.75" customHeight="1">
      <c r="A2" s="340" t="s">
        <v>72</v>
      </c>
      <c r="B2" s="340"/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469" t="str">
        <f>3!B3</f>
        <v>SO 01 Stoka RA</v>
      </c>
      <c r="C3" s="46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469" t="str">
        <f>Rekapitulace!C14</f>
        <v>        SO 01 Stoka RA SKL DN 400</v>
      </c>
      <c r="C4" s="46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/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299"/>
      <c r="C9" s="701" t="s">
        <v>988</v>
      </c>
      <c r="D9" s="701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9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H15+H17+H20</f>
        <v>0</v>
      </c>
      <c r="I14" s="446"/>
      <c r="J14" s="448">
        <f>J15+J17+J20</f>
        <v>0.6408</v>
      </c>
      <c r="K14" s="446"/>
      <c r="L14" s="448">
        <f>L15+L17+L20</f>
        <v>0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358</v>
      </c>
      <c r="D15" s="446" t="s">
        <v>359</v>
      </c>
      <c r="E15" s="446"/>
      <c r="F15" s="446"/>
      <c r="G15" s="446"/>
      <c r="H15" s="447">
        <f>H16</f>
        <v>0</v>
      </c>
      <c r="I15" s="446"/>
      <c r="J15" s="448">
        <f>J16</f>
        <v>0</v>
      </c>
      <c r="K15" s="446"/>
      <c r="L15" s="448">
        <f>L16</f>
        <v>0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0">
        <v>4</v>
      </c>
      <c r="C16" s="419" t="s">
        <v>784</v>
      </c>
      <c r="D16" s="398" t="s">
        <v>364</v>
      </c>
      <c r="E16" s="400" t="s">
        <v>365</v>
      </c>
      <c r="F16" s="401">
        <v>1</v>
      </c>
      <c r="G16" s="402"/>
      <c r="H16" s="402">
        <f>ROUND(F16*G16,2)</f>
        <v>0</v>
      </c>
      <c r="I16" s="449">
        <v>0</v>
      </c>
      <c r="J16" s="401">
        <f>F16*I16</f>
        <v>0</v>
      </c>
      <c r="K16" s="449">
        <v>0</v>
      </c>
      <c r="L16" s="401">
        <f>F16*K16</f>
        <v>0</v>
      </c>
      <c r="M16" s="450">
        <v>21</v>
      </c>
      <c r="N16" s="334">
        <v>4</v>
      </c>
      <c r="O16" s="196" t="s">
        <v>161</v>
      </c>
    </row>
    <row r="17" spans="1:15" s="318" customFormat="1" ht="13.5" customHeight="1">
      <c r="A17" s="446"/>
      <c r="B17" s="446"/>
      <c r="C17" s="446" t="s">
        <v>157</v>
      </c>
      <c r="D17" s="446" t="s">
        <v>285</v>
      </c>
      <c r="E17" s="446"/>
      <c r="F17" s="446"/>
      <c r="G17" s="446"/>
      <c r="H17" s="447">
        <f>SUM(H18:H19)</f>
        <v>0</v>
      </c>
      <c r="I17" s="446"/>
      <c r="J17" s="448">
        <f>SUM(J18:J19)</f>
        <v>0.6408</v>
      </c>
      <c r="K17" s="446"/>
      <c r="L17" s="448">
        <f>SUM(L18:L19)</f>
        <v>0</v>
      </c>
      <c r="M17" s="446"/>
      <c r="O17" s="320" t="s">
        <v>154</v>
      </c>
    </row>
    <row r="18" spans="1:15" s="196" customFormat="1" ht="25.5" customHeight="1">
      <c r="A18" s="400" t="s">
        <v>161</v>
      </c>
      <c r="B18" s="400">
        <v>4</v>
      </c>
      <c r="C18" s="419" t="s">
        <v>786</v>
      </c>
      <c r="D18" s="451" t="s">
        <v>398</v>
      </c>
      <c r="E18" s="400" t="s">
        <v>256</v>
      </c>
      <c r="F18" s="401">
        <v>53.4</v>
      </c>
      <c r="G18" s="402"/>
      <c r="H18" s="402">
        <f>ROUND(F18*G18,2)</f>
        <v>0</v>
      </c>
      <c r="I18" s="449">
        <v>0</v>
      </c>
      <c r="J18" s="401">
        <f>F18*I18</f>
        <v>0</v>
      </c>
      <c r="K18" s="449">
        <v>0</v>
      </c>
      <c r="L18" s="401">
        <f>F18*K18</f>
        <v>0</v>
      </c>
      <c r="M18" s="450">
        <f>$M$16</f>
        <v>21</v>
      </c>
      <c r="N18" s="334">
        <v>4</v>
      </c>
      <c r="O18" s="196" t="s">
        <v>161</v>
      </c>
    </row>
    <row r="19" spans="1:15" s="196" customFormat="1" ht="24" customHeight="1">
      <c r="A19" s="400" t="s">
        <v>167</v>
      </c>
      <c r="B19" s="400">
        <v>4</v>
      </c>
      <c r="C19" s="419" t="s">
        <v>787</v>
      </c>
      <c r="D19" s="451" t="s">
        <v>1008</v>
      </c>
      <c r="E19" s="400" t="s">
        <v>256</v>
      </c>
      <c r="F19" s="401">
        <v>53.4</v>
      </c>
      <c r="G19" s="402"/>
      <c r="H19" s="402">
        <f>ROUND(F19*G19,2)</f>
        <v>0</v>
      </c>
      <c r="I19" s="449">
        <v>0.012</v>
      </c>
      <c r="J19" s="401">
        <f>F19*I19</f>
        <v>0.6408</v>
      </c>
      <c r="K19" s="449">
        <v>0</v>
      </c>
      <c r="L19" s="401">
        <f>F19*K19</f>
        <v>0</v>
      </c>
      <c r="M19" s="450">
        <f aca="true" t="shared" si="0" ref="M19:M25">$M$16</f>
        <v>21</v>
      </c>
      <c r="N19" s="336">
        <v>8</v>
      </c>
      <c r="O19" s="335" t="s">
        <v>161</v>
      </c>
    </row>
    <row r="20" spans="1:15" s="318" customFormat="1" ht="13.5" customHeight="1">
      <c r="A20" s="446"/>
      <c r="B20" s="446"/>
      <c r="C20" s="446" t="s">
        <v>300</v>
      </c>
      <c r="D20" s="446" t="s">
        <v>301</v>
      </c>
      <c r="E20" s="446"/>
      <c r="F20" s="446"/>
      <c r="G20" s="446"/>
      <c r="H20" s="447">
        <f>H21</f>
        <v>0</v>
      </c>
      <c r="I20" s="446"/>
      <c r="J20" s="448">
        <f>J21</f>
        <v>0</v>
      </c>
      <c r="K20" s="446"/>
      <c r="L20" s="448">
        <f>L21</f>
        <v>0</v>
      </c>
      <c r="M20" s="450"/>
      <c r="O20" s="320" t="s">
        <v>154</v>
      </c>
    </row>
    <row r="21" spans="1:15" s="196" customFormat="1" ht="13.5" customHeight="1">
      <c r="A21" s="400" t="s">
        <v>173</v>
      </c>
      <c r="B21" s="400">
        <v>4</v>
      </c>
      <c r="C21" s="419" t="s">
        <v>754</v>
      </c>
      <c r="D21" s="398" t="s">
        <v>303</v>
      </c>
      <c r="E21" s="400" t="s">
        <v>268</v>
      </c>
      <c r="F21" s="401">
        <v>0.641</v>
      </c>
      <c r="G21" s="402"/>
      <c r="H21" s="402">
        <f>ROUND(F21*G21,2)</f>
        <v>0</v>
      </c>
      <c r="I21" s="449">
        <v>0</v>
      </c>
      <c r="J21" s="401">
        <f>F21*I21</f>
        <v>0</v>
      </c>
      <c r="K21" s="449">
        <v>0</v>
      </c>
      <c r="L21" s="401">
        <f>F21*K21</f>
        <v>0</v>
      </c>
      <c r="M21" s="450">
        <f t="shared" si="0"/>
        <v>21</v>
      </c>
      <c r="N21" s="334">
        <v>4</v>
      </c>
      <c r="O21" s="196" t="s">
        <v>161</v>
      </c>
    </row>
    <row r="22" spans="1:15" s="318" customFormat="1" ht="13.5" customHeight="1">
      <c r="A22" s="446"/>
      <c r="B22" s="446"/>
      <c r="C22" s="446" t="s">
        <v>266</v>
      </c>
      <c r="D22" s="446" t="s">
        <v>304</v>
      </c>
      <c r="E22" s="446"/>
      <c r="F22" s="446"/>
      <c r="G22" s="446"/>
      <c r="H22" s="447">
        <f>H23</f>
        <v>0</v>
      </c>
      <c r="I22" s="446"/>
      <c r="J22" s="448">
        <f>J23</f>
        <v>0</v>
      </c>
      <c r="K22" s="446"/>
      <c r="L22" s="448">
        <f>L23</f>
        <v>0</v>
      </c>
      <c r="M22" s="450"/>
      <c r="O22" s="315" t="s">
        <v>244</v>
      </c>
    </row>
    <row r="23" spans="1:15" s="318" customFormat="1" ht="13.5" customHeight="1">
      <c r="A23" s="446"/>
      <c r="B23" s="446"/>
      <c r="C23" s="446" t="s">
        <v>305</v>
      </c>
      <c r="D23" s="446" t="s">
        <v>306</v>
      </c>
      <c r="E23" s="446"/>
      <c r="F23" s="446"/>
      <c r="G23" s="446"/>
      <c r="H23" s="447">
        <f>SUM(H24:H25)</f>
        <v>0</v>
      </c>
      <c r="I23" s="446"/>
      <c r="J23" s="448">
        <f>SUM(J24:J25)</f>
        <v>0</v>
      </c>
      <c r="K23" s="446"/>
      <c r="L23" s="448">
        <f>SUM(L24:L25)</f>
        <v>0</v>
      </c>
      <c r="M23" s="450"/>
      <c r="O23" s="320" t="s">
        <v>154</v>
      </c>
    </row>
    <row r="24" spans="1:15" s="196" customFormat="1" ht="13.5" customHeight="1">
      <c r="A24" s="400" t="s">
        <v>177</v>
      </c>
      <c r="B24" s="400">
        <v>4</v>
      </c>
      <c r="C24" s="419" t="s">
        <v>755</v>
      </c>
      <c r="D24" s="398" t="s">
        <v>396</v>
      </c>
      <c r="E24" s="400" t="s">
        <v>309</v>
      </c>
      <c r="F24" s="401">
        <v>1</v>
      </c>
      <c r="G24" s="402"/>
      <c r="H24" s="402">
        <f>ROUND(F24*G24,2)</f>
        <v>0</v>
      </c>
      <c r="I24" s="449">
        <v>0</v>
      </c>
      <c r="J24" s="401">
        <f>F24*I24</f>
        <v>0</v>
      </c>
      <c r="K24" s="449">
        <v>0</v>
      </c>
      <c r="L24" s="401">
        <f>F24*K24</f>
        <v>0</v>
      </c>
      <c r="M24" s="450">
        <f t="shared" si="0"/>
        <v>21</v>
      </c>
      <c r="N24" s="334">
        <v>64</v>
      </c>
      <c r="O24" s="196" t="s">
        <v>161</v>
      </c>
    </row>
    <row r="25" spans="1:15" s="196" customFormat="1" ht="13.5" customHeight="1">
      <c r="A25" s="400" t="s">
        <v>181</v>
      </c>
      <c r="B25" s="400">
        <v>4</v>
      </c>
      <c r="C25" s="419" t="s">
        <v>756</v>
      </c>
      <c r="D25" s="398" t="s">
        <v>998</v>
      </c>
      <c r="E25" s="400" t="s">
        <v>256</v>
      </c>
      <c r="F25" s="401">
        <v>53.04</v>
      </c>
      <c r="G25" s="402"/>
      <c r="H25" s="402">
        <f>ROUND(F25*G25,2)</f>
        <v>0</v>
      </c>
      <c r="I25" s="449">
        <v>0</v>
      </c>
      <c r="J25" s="401">
        <f>F25*I25</f>
        <v>0</v>
      </c>
      <c r="K25" s="449">
        <v>0</v>
      </c>
      <c r="L25" s="401">
        <f>F25*K25</f>
        <v>0</v>
      </c>
      <c r="M25" s="450">
        <f t="shared" si="0"/>
        <v>21</v>
      </c>
      <c r="N25" s="334">
        <v>64</v>
      </c>
      <c r="O25" s="196" t="s">
        <v>161</v>
      </c>
    </row>
    <row r="26" spans="4:12" s="323" customFormat="1" ht="12.75" customHeight="1">
      <c r="D26" s="323" t="s">
        <v>124</v>
      </c>
      <c r="H26" s="467">
        <f>H14+H22</f>
        <v>0</v>
      </c>
      <c r="J26" s="468">
        <f>J14+J22</f>
        <v>0.6408</v>
      </c>
      <c r="L26" s="468">
        <f>L14+L22</f>
        <v>0</v>
      </c>
    </row>
    <row r="36" s="407" customFormat="1" ht="11.25" customHeight="1">
      <c r="D36" s="703"/>
    </row>
    <row r="76" ht="11.25" customHeight="1">
      <c r="F76" s="445"/>
    </row>
  </sheetData>
  <sheetProtection/>
  <mergeCells count="1">
    <mergeCell ref="C9:D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V40" sqref="V40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399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94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SUMIF('[5]Rozpocet'!O5:O65535,8,'[5]Rozpocet'!I5:I65535)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12735.26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SUMIF('[5]Rozpocet'!O10:O65536,4,'[5]Rozpocet'!I10:I65536)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SUMIF('[5]Rozpocet'!O11:O65536,32,'[5]Rozpocet'!I11:I65536)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SUMIF('[5]Rozpocet'!O12:O65536,16,'[5]Rozpocet'!I12:I65536)+SUMIF('[5]Rozpocet'!O12:O65536,128,'[5]Rozpocet'!I12:I65536)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SUMIF('[5]Rozpocet'!O13:O65536,256,'[5]Rozpocet'!I13:I65536)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SUMIF('[5]Rozpocet'!O14:O65536,64,'[5]Rozpocet'!I14:I65536)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SUMIF('[5]Rozpocet'!O14:O65536,1024,'[5]Rozpocet'!I14:I65536)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SUMIF('[5]Rozpocet'!O14:O65536,512,'[5]Rozpocet'!I14:I65536)</f>
        <v>#VALUE!</v>
      </c>
      <c r="F45" s="223"/>
      <c r="G45" s="267">
        <v>21</v>
      </c>
      <c r="H45" s="268" t="s">
        <v>193</v>
      </c>
      <c r="I45" s="270"/>
      <c r="J45" s="272">
        <v>7090.64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SUMIF('[5]Rozpocet'!O14:O65536,"&lt;4",'[5]Rozpocet'!I14:I65536)+SUMIF('[5]Rozpocet'!O14:O65536,"&gt;1024",'[5]Rozpocet'!I14:I65536)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SUMIF('[5]Rozpocet'!N14:N65536,M49,'[5]Rozpocet'!I14:I65536)+SUMIF(P38:P42,M49,R38:R42)+IF(K45=M49,J45,0)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'[5]Krycí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'[5]Krycí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'[5]Krycí list'!E9</f>
        <v>SO 01 Stoka K1 DN 400</v>
      </c>
      <c r="C4" s="301"/>
      <c r="D4" s="299"/>
      <c r="E4" s="302"/>
    </row>
    <row r="5" spans="1:5" ht="12" customHeight="1">
      <c r="A5" s="299" t="s">
        <v>227</v>
      </c>
      <c r="B5" s="299" t="str">
        <f>'[5]Krycí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'[5]Krycí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'[5]Krycí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'[5]Rozpocet'!D14</f>
        <v>HSV</v>
      </c>
      <c r="B14" s="315" t="str">
        <f>'[5]Rozpocet'!E14</f>
        <v>Práce a dodávky HSV</v>
      </c>
      <c r="C14" s="316">
        <f>'[5]Rozpocet'!I14</f>
        <v>518879.19</v>
      </c>
      <c r="D14" s="317">
        <f>'[5]Rozpocet'!K14</f>
        <v>99.20523618</v>
      </c>
      <c r="E14" s="317">
        <f>'[5]Rozpocet'!M14</f>
        <v>49.0232</v>
      </c>
    </row>
    <row r="15" spans="1:5" s="318" customFormat="1" ht="12.75" customHeight="1">
      <c r="A15" s="319" t="str">
        <f>'[5]Rozpocet'!D15</f>
        <v>1</v>
      </c>
      <c r="B15" s="320" t="str">
        <f>'[5]Rozpocet'!E15</f>
        <v>Zemní práce</v>
      </c>
      <c r="C15" s="321">
        <f>'[5]Rozpocet'!I15</f>
        <v>170888.65</v>
      </c>
      <c r="D15" s="322">
        <f>'[5]Rozpocet'!K15</f>
        <v>89.5308185</v>
      </c>
      <c r="E15" s="322">
        <f>'[5]Rozpocet'!M15</f>
        <v>49.0232</v>
      </c>
    </row>
    <row r="16" spans="1:5" s="318" customFormat="1" ht="12.75" customHeight="1">
      <c r="A16" s="319" t="str">
        <f>'[5]Rozpocet'!D32</f>
        <v>2</v>
      </c>
      <c r="B16" s="320" t="str">
        <f>'[5]Rozpocet'!E32</f>
        <v>Zakládání</v>
      </c>
      <c r="C16" s="321">
        <f>'[5]Rozpocet'!I32</f>
        <v>5587.6</v>
      </c>
      <c r="D16" s="322">
        <f>'[5]Rozpocet'!K32</f>
        <v>5.469209</v>
      </c>
      <c r="E16" s="322">
        <f>'[5]Rozpocet'!M32</f>
        <v>0</v>
      </c>
    </row>
    <row r="17" spans="1:5" s="318" customFormat="1" ht="12.75" customHeight="1">
      <c r="A17" s="319" t="str">
        <f>'[5]Rozpocet'!D35</f>
        <v>4</v>
      </c>
      <c r="B17" s="320" t="str">
        <f>'[5]Rozpocet'!E35</f>
        <v>Vodorovné konstrukce</v>
      </c>
      <c r="C17" s="321">
        <f>'[5]Rozpocet'!I35</f>
        <v>8222.1</v>
      </c>
      <c r="D17" s="322">
        <f>'[5]Rozpocet'!K35</f>
        <v>0.02363552</v>
      </c>
      <c r="E17" s="322">
        <f>'[5]Rozpocet'!M35</f>
        <v>0</v>
      </c>
    </row>
    <row r="18" spans="1:5" s="318" customFormat="1" ht="12.75" customHeight="1">
      <c r="A18" s="319" t="str">
        <f>'[5]Rozpocet'!D38</f>
        <v>5</v>
      </c>
      <c r="B18" s="320" t="str">
        <f>'[5]Rozpocet'!E38</f>
        <v>Komunikace</v>
      </c>
      <c r="C18" s="321">
        <f>'[5]Rozpocet'!I38</f>
        <v>53165.94</v>
      </c>
      <c r="D18" s="322">
        <f>'[5]Rozpocet'!K38</f>
        <v>0.16776</v>
      </c>
      <c r="E18" s="322">
        <f>'[5]Rozpocet'!M38</f>
        <v>0</v>
      </c>
    </row>
    <row r="19" spans="1:5" s="318" customFormat="1" ht="12.75" customHeight="1">
      <c r="A19" s="319" t="str">
        <f>'[5]Rozpocet'!D44</f>
        <v>8</v>
      </c>
      <c r="B19" s="320" t="str">
        <f>'[5]Rozpocet'!E44</f>
        <v>Trubní vedení</v>
      </c>
      <c r="C19" s="321">
        <f>'[5]Rozpocet'!I44</f>
        <v>238947.83</v>
      </c>
      <c r="D19" s="322">
        <f>'[5]Rozpocet'!K44</f>
        <v>4.01381316</v>
      </c>
      <c r="E19" s="322">
        <f>'[5]Rozpocet'!M44</f>
        <v>0</v>
      </c>
    </row>
    <row r="20" spans="1:5" s="318" customFormat="1" ht="12.75" customHeight="1">
      <c r="A20" s="319" t="str">
        <f>'[5]Rozpocet'!D55</f>
        <v>9</v>
      </c>
      <c r="B20" s="320" t="str">
        <f>'[5]Rozpocet'!E55</f>
        <v>Ostatní konstrukce a práce-bourání</v>
      </c>
      <c r="C20" s="321">
        <f>'[5]Rozpocet'!I55</f>
        <v>26392.68</v>
      </c>
      <c r="D20" s="322">
        <f>'[5]Rozpocet'!K55</f>
        <v>0</v>
      </c>
      <c r="E20" s="322">
        <f>'[5]Rozpocet'!M55</f>
        <v>0</v>
      </c>
    </row>
    <row r="21" spans="1:5" s="318" customFormat="1" ht="12.75" customHeight="1">
      <c r="A21" s="319" t="str">
        <f>'[5]Rozpocet'!D60</f>
        <v>99</v>
      </c>
      <c r="B21" s="320" t="str">
        <f>'[5]Rozpocet'!E60</f>
        <v>Přesun hmot</v>
      </c>
      <c r="C21" s="321">
        <f>'[5]Rozpocet'!I60</f>
        <v>15674.39</v>
      </c>
      <c r="D21" s="322">
        <f>'[5]Rozpocet'!K60</f>
        <v>0</v>
      </c>
      <c r="E21" s="322">
        <f>'[5]Rozpocet'!M60</f>
        <v>0</v>
      </c>
    </row>
    <row r="22" spans="1:5" s="318" customFormat="1" ht="12.75" customHeight="1">
      <c r="A22" s="314" t="str">
        <f>'[5]Rozpocet'!D62</f>
        <v>M</v>
      </c>
      <c r="B22" s="315" t="str">
        <f>'[5]Rozpocet'!E62</f>
        <v>Práce a dodávky M</v>
      </c>
      <c r="C22" s="316">
        <f>'[5]Rozpocet'!I62</f>
        <v>11756.45</v>
      </c>
      <c r="D22" s="317">
        <f>'[5]Rozpocet'!K62</f>
        <v>0</v>
      </c>
      <c r="E22" s="317">
        <f>'[5]Rozpocet'!M62</f>
        <v>0</v>
      </c>
    </row>
    <row r="23" spans="1:5" s="318" customFormat="1" ht="12.75" customHeight="1">
      <c r="A23" s="319" t="str">
        <f>'[5]Rozpocet'!D63</f>
        <v>23-M</v>
      </c>
      <c r="B23" s="320" t="str">
        <f>'[5]Rozpocet'!E63</f>
        <v>Montáže potrubí</v>
      </c>
      <c r="C23" s="321">
        <f>'[5]Rozpocet'!I63</f>
        <v>11756.45</v>
      </c>
      <c r="D23" s="322">
        <f>'[5]Rozpocet'!K63</f>
        <v>0</v>
      </c>
      <c r="E23" s="322">
        <f>'[5]Rozpocet'!M63</f>
        <v>0</v>
      </c>
    </row>
    <row r="24" spans="2:5" s="323" customFormat="1" ht="12.75" customHeight="1">
      <c r="B24" s="324" t="s">
        <v>124</v>
      </c>
      <c r="C24" s="325">
        <f>'[5]Rozpocet'!I66</f>
        <v>530635.64</v>
      </c>
      <c r="D24" s="326">
        <f>'[5]Rozpocet'!K66</f>
        <v>99.20523618</v>
      </c>
      <c r="E24" s="326">
        <f>'[5]Rozpocet'!M66</f>
        <v>49.0232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SheetLayoutView="100" zoomScalePageLayoutView="0" workbookViewId="0" topLeftCell="A1">
      <pane ySplit="13" topLeftCell="A26" activePane="bottomLeft" state="frozen"/>
      <selection pane="topLeft" activeCell="D36" sqref="D36"/>
      <selection pane="bottomLeft" activeCell="D36" sqref="D36"/>
    </sheetView>
  </sheetViews>
  <sheetFormatPr defaultColWidth="9.140625" defaultRowHeight="11.25" customHeight="1"/>
  <cols>
    <col min="1" max="1" width="9.71093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'[5]Krycí list'!E7</f>
        <v>SO 01 Stoka RA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'[5]Krycí list'!E9</f>
        <v>SO 01 Stoka K1 DN 400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'[5]Krycí list'!P5</f>
        <v> 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2.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H15+H32+H35+H39+H45+H56+H61</f>
        <v>0</v>
      </c>
      <c r="I14" s="446"/>
      <c r="J14" s="448" t="e">
        <f>J15+J24+J26+J29+#REF!+J38+J41</f>
        <v>#REF!</v>
      </c>
      <c r="K14" s="446"/>
      <c r="L14" s="448" t="e">
        <f>L15+L24+L26+L29+#REF!+L38+L41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SUM(H16:H31)</f>
        <v>0</v>
      </c>
      <c r="I15" s="446"/>
      <c r="J15" s="448">
        <f>SUM(J16:J23)</f>
        <v>0.015468</v>
      </c>
      <c r="K15" s="446"/>
      <c r="L15" s="448">
        <f>SUM(L16:L23)</f>
        <v>14.539200000000001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5</v>
      </c>
      <c r="C16" s="419" t="s">
        <v>757</v>
      </c>
      <c r="D16" s="451" t="s">
        <v>246</v>
      </c>
      <c r="E16" s="400" t="s">
        <v>247</v>
      </c>
      <c r="F16" s="401">
        <v>34.95</v>
      </c>
      <c r="G16" s="402"/>
      <c r="H16" s="402">
        <f aca="true" t="shared" si="0" ref="H16:H31">ROUND(F16*G16,2)</f>
        <v>0</v>
      </c>
      <c r="I16" s="449">
        <v>0</v>
      </c>
      <c r="J16" s="401">
        <f aca="true" t="shared" si="1" ref="J16:J23">F16*I16</f>
        <v>0</v>
      </c>
      <c r="K16" s="449">
        <v>0.235</v>
      </c>
      <c r="L16" s="401">
        <f aca="true" t="shared" si="2" ref="L16:L23">F16*K16</f>
        <v>8.21325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3">
        <v>5</v>
      </c>
      <c r="C17" s="419" t="s">
        <v>758</v>
      </c>
      <c r="D17" s="451" t="s">
        <v>248</v>
      </c>
      <c r="E17" s="400" t="s">
        <v>247</v>
      </c>
      <c r="F17" s="401">
        <v>34.95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0.181</v>
      </c>
      <c r="L17" s="401">
        <f t="shared" si="2"/>
        <v>6.325950000000001</v>
      </c>
      <c r="M17" s="450">
        <f aca="true" t="shared" si="3" ref="M17:M31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3">
        <v>5</v>
      </c>
      <c r="C18" s="419" t="s">
        <v>759</v>
      </c>
      <c r="D18" s="451" t="s">
        <v>249</v>
      </c>
      <c r="E18" s="400" t="s">
        <v>247</v>
      </c>
      <c r="F18" s="401">
        <v>34.95</v>
      </c>
      <c r="G18" s="402"/>
      <c r="H18" s="402">
        <f t="shared" si="0"/>
        <v>0</v>
      </c>
      <c r="I18" s="449">
        <v>4E-05</v>
      </c>
      <c r="J18" s="401">
        <f t="shared" si="1"/>
        <v>0.0013980000000000002</v>
      </c>
      <c r="K18" s="449">
        <v>0</v>
      </c>
      <c r="L18" s="401">
        <f t="shared" si="2"/>
        <v>0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5</v>
      </c>
      <c r="C19" s="419" t="s">
        <v>760</v>
      </c>
      <c r="D19" s="451" t="s">
        <v>250</v>
      </c>
      <c r="E19" s="400" t="s">
        <v>247</v>
      </c>
      <c r="F19" s="401">
        <v>116.5</v>
      </c>
      <c r="G19" s="402"/>
      <c r="H19" s="402">
        <f t="shared" si="0"/>
        <v>0</v>
      </c>
      <c r="I19" s="449">
        <v>0</v>
      </c>
      <c r="J19" s="401">
        <f t="shared" si="1"/>
        <v>0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5</v>
      </c>
      <c r="C20" s="419" t="s">
        <v>761</v>
      </c>
      <c r="D20" s="451" t="s">
        <v>251</v>
      </c>
      <c r="E20" s="400" t="s">
        <v>252</v>
      </c>
      <c r="F20" s="401">
        <v>168</v>
      </c>
      <c r="G20" s="402"/>
      <c r="H20" s="402">
        <f t="shared" si="0"/>
        <v>0</v>
      </c>
      <c r="I20" s="449">
        <v>0</v>
      </c>
      <c r="J20" s="401">
        <f t="shared" si="1"/>
        <v>0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5</v>
      </c>
      <c r="C21" s="419" t="s">
        <v>762</v>
      </c>
      <c r="D21" s="451" t="s">
        <v>253</v>
      </c>
      <c r="E21" s="400" t="s">
        <v>254</v>
      </c>
      <c r="F21" s="401">
        <v>7</v>
      </c>
      <c r="G21" s="402"/>
      <c r="H21" s="402">
        <f t="shared" si="0"/>
        <v>0</v>
      </c>
      <c r="I21" s="449">
        <v>0.00201</v>
      </c>
      <c r="J21" s="401">
        <f t="shared" si="1"/>
        <v>0.014070000000000001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3">
        <v>5</v>
      </c>
      <c r="C22" s="419" t="s">
        <v>763</v>
      </c>
      <c r="D22" s="451" t="s">
        <v>255</v>
      </c>
      <c r="E22" s="400" t="s">
        <v>256</v>
      </c>
      <c r="F22" s="401">
        <v>1.5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3">
        <v>5</v>
      </c>
      <c r="C23" s="419" t="s">
        <v>788</v>
      </c>
      <c r="D23" s="451" t="s">
        <v>257</v>
      </c>
      <c r="E23" s="400" t="s">
        <v>258</v>
      </c>
      <c r="F23" s="401">
        <v>71.473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318" customFormat="1" ht="13.5" customHeight="1">
      <c r="A24" s="400" t="s">
        <v>163</v>
      </c>
      <c r="B24" s="403">
        <v>5</v>
      </c>
      <c r="C24" s="419" t="s">
        <v>767</v>
      </c>
      <c r="D24" s="451" t="s">
        <v>259</v>
      </c>
      <c r="E24" s="400" t="s">
        <v>258</v>
      </c>
      <c r="F24" s="401">
        <v>71.473</v>
      </c>
      <c r="G24" s="402"/>
      <c r="H24" s="402">
        <f t="shared" si="0"/>
        <v>0</v>
      </c>
      <c r="I24" s="446"/>
      <c r="J24" s="448">
        <f>SUM(J25:J25)</f>
        <v>24.611440499999997</v>
      </c>
      <c r="K24" s="446"/>
      <c r="L24" s="448">
        <f>SUM(L25:L25)</f>
        <v>0</v>
      </c>
      <c r="M24" s="450">
        <f t="shared" si="3"/>
        <v>21</v>
      </c>
      <c r="O24" s="320" t="s">
        <v>154</v>
      </c>
    </row>
    <row r="25" spans="1:15" s="196" customFormat="1" ht="13.5" customHeight="1">
      <c r="A25" s="400" t="s">
        <v>169</v>
      </c>
      <c r="B25" s="408">
        <v>5</v>
      </c>
      <c r="C25" s="419" t="s">
        <v>768</v>
      </c>
      <c r="D25" s="451" t="s">
        <v>260</v>
      </c>
      <c r="E25" s="400" t="s">
        <v>247</v>
      </c>
      <c r="F25" s="401">
        <v>104.85</v>
      </c>
      <c r="G25" s="402"/>
      <c r="H25" s="402">
        <f t="shared" si="0"/>
        <v>0</v>
      </c>
      <c r="I25" s="449">
        <v>0.23473</v>
      </c>
      <c r="J25" s="401">
        <f>F25*I25</f>
        <v>24.611440499999997</v>
      </c>
      <c r="K25" s="449">
        <v>0</v>
      </c>
      <c r="L25" s="401">
        <f>F25*K25</f>
        <v>0</v>
      </c>
      <c r="M25" s="450">
        <f t="shared" si="3"/>
        <v>21</v>
      </c>
      <c r="N25" s="334">
        <v>4</v>
      </c>
      <c r="O25" s="196" t="s">
        <v>161</v>
      </c>
    </row>
    <row r="26" spans="1:15" s="318" customFormat="1" ht="13.5" customHeight="1">
      <c r="A26" s="400" t="s">
        <v>174</v>
      </c>
      <c r="B26" s="408">
        <v>5</v>
      </c>
      <c r="C26" s="419" t="s">
        <v>769</v>
      </c>
      <c r="D26" s="451" t="s">
        <v>261</v>
      </c>
      <c r="E26" s="400" t="s">
        <v>247</v>
      </c>
      <c r="F26" s="401">
        <v>104.85</v>
      </c>
      <c r="G26" s="402"/>
      <c r="H26" s="402">
        <f t="shared" si="0"/>
        <v>0</v>
      </c>
      <c r="I26" s="446"/>
      <c r="J26" s="448">
        <f>SUM(J27:J28)</f>
        <v>0.45313882</v>
      </c>
      <c r="K26" s="446"/>
      <c r="L26" s="448">
        <f>SUM(L27:L28)</f>
        <v>0</v>
      </c>
      <c r="M26" s="450">
        <f t="shared" si="3"/>
        <v>21</v>
      </c>
      <c r="O26" s="320" t="s">
        <v>154</v>
      </c>
    </row>
    <row r="27" spans="1:15" s="196" customFormat="1" ht="13.5" customHeight="1">
      <c r="A27" s="400" t="s">
        <v>186</v>
      </c>
      <c r="B27" s="403">
        <v>5</v>
      </c>
      <c r="C27" s="419" t="s">
        <v>770</v>
      </c>
      <c r="D27" s="451" t="s">
        <v>262</v>
      </c>
      <c r="E27" s="400" t="s">
        <v>258</v>
      </c>
      <c r="F27" s="401">
        <v>39.31</v>
      </c>
      <c r="G27" s="402"/>
      <c r="H27" s="402">
        <f t="shared" si="0"/>
        <v>0</v>
      </c>
      <c r="I27" s="449">
        <v>0</v>
      </c>
      <c r="J27" s="401">
        <f>F27*I27</f>
        <v>0</v>
      </c>
      <c r="K27" s="449">
        <v>0</v>
      </c>
      <c r="L27" s="401">
        <f>F27*K27</f>
        <v>0</v>
      </c>
      <c r="M27" s="450">
        <f t="shared" si="3"/>
        <v>21</v>
      </c>
      <c r="N27" s="334">
        <v>4</v>
      </c>
      <c r="O27" s="196" t="s">
        <v>161</v>
      </c>
    </row>
    <row r="28" spans="1:15" s="196" customFormat="1" ht="24.75" customHeight="1">
      <c r="A28" s="400" t="s">
        <v>159</v>
      </c>
      <c r="B28" s="403">
        <v>5</v>
      </c>
      <c r="C28" s="419" t="s">
        <v>771</v>
      </c>
      <c r="D28" s="451" t="s">
        <v>263</v>
      </c>
      <c r="E28" s="400" t="s">
        <v>258</v>
      </c>
      <c r="F28" s="401">
        <v>71.473</v>
      </c>
      <c r="G28" s="402"/>
      <c r="H28" s="402">
        <f t="shared" si="0"/>
        <v>0</v>
      </c>
      <c r="I28" s="449">
        <v>0.00634</v>
      </c>
      <c r="J28" s="401">
        <f>F28*I28</f>
        <v>0.45313882</v>
      </c>
      <c r="K28" s="449">
        <v>0</v>
      </c>
      <c r="L28" s="401">
        <f>F28*K28</f>
        <v>0</v>
      </c>
      <c r="M28" s="450">
        <f t="shared" si="3"/>
        <v>21</v>
      </c>
      <c r="N28" s="334">
        <v>4</v>
      </c>
      <c r="O28" s="196" t="s">
        <v>161</v>
      </c>
    </row>
    <row r="29" spans="1:15" s="318" customFormat="1" ht="13.5" customHeight="1">
      <c r="A29" s="400" t="s">
        <v>165</v>
      </c>
      <c r="B29" s="408">
        <v>5</v>
      </c>
      <c r="C29" s="419" t="s">
        <v>772</v>
      </c>
      <c r="D29" s="451" t="s">
        <v>264</v>
      </c>
      <c r="E29" s="400" t="s">
        <v>258</v>
      </c>
      <c r="F29" s="401">
        <v>71.473</v>
      </c>
      <c r="G29" s="402"/>
      <c r="H29" s="402">
        <f t="shared" si="0"/>
        <v>0</v>
      </c>
      <c r="I29" s="446"/>
      <c r="J29" s="448">
        <f>SUM(J30:J30)</f>
        <v>0</v>
      </c>
      <c r="K29" s="446"/>
      <c r="L29" s="448">
        <f>SUM(L30:L30)</f>
        <v>0</v>
      </c>
      <c r="M29" s="450">
        <f t="shared" si="3"/>
        <v>21</v>
      </c>
      <c r="O29" s="320" t="s">
        <v>154</v>
      </c>
    </row>
    <row r="30" spans="1:15" s="196" customFormat="1" ht="13.5" customHeight="1">
      <c r="A30" s="400" t="s">
        <v>171</v>
      </c>
      <c r="B30" s="403">
        <v>5</v>
      </c>
      <c r="C30" s="419" t="s">
        <v>774</v>
      </c>
      <c r="D30" s="451" t="s">
        <v>265</v>
      </c>
      <c r="E30" s="400" t="s">
        <v>258</v>
      </c>
      <c r="F30" s="401">
        <v>63.784</v>
      </c>
      <c r="G30" s="402"/>
      <c r="H30" s="402">
        <f t="shared" si="0"/>
        <v>0</v>
      </c>
      <c r="I30" s="449">
        <v>0</v>
      </c>
      <c r="J30" s="401">
        <f>F30*I30</f>
        <v>0</v>
      </c>
      <c r="K30" s="449">
        <v>0</v>
      </c>
      <c r="L30" s="401">
        <f>F30*K30</f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8">
        <v>5</v>
      </c>
      <c r="C31" s="419" t="s">
        <v>775</v>
      </c>
      <c r="D31" s="451" t="s">
        <v>267</v>
      </c>
      <c r="E31" s="400" t="s">
        <v>268</v>
      </c>
      <c r="F31" s="401">
        <v>89.298</v>
      </c>
      <c r="G31" s="402"/>
      <c r="H31" s="402">
        <f t="shared" si="0"/>
        <v>0</v>
      </c>
      <c r="I31" s="449">
        <v>0.00011</v>
      </c>
      <c r="J31" s="401">
        <f aca="true" t="shared" si="4" ref="J31:J37">F31*I31</f>
        <v>0.00982278</v>
      </c>
      <c r="K31" s="449">
        <v>0</v>
      </c>
      <c r="L31" s="401">
        <f aca="true" t="shared" si="5" ref="L31:L37">F31*K31</f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13.5" customHeight="1">
      <c r="A32" s="446"/>
      <c r="B32" s="408"/>
      <c r="C32" s="446" t="s">
        <v>161</v>
      </c>
      <c r="D32" s="446" t="s">
        <v>271</v>
      </c>
      <c r="E32" s="446"/>
      <c r="F32" s="446"/>
      <c r="G32" s="446"/>
      <c r="H32" s="447">
        <f>SUM(H33:H34)</f>
        <v>0</v>
      </c>
      <c r="I32" s="449">
        <v>0</v>
      </c>
      <c r="J32" s="401">
        <f t="shared" si="4"/>
        <v>0</v>
      </c>
      <c r="K32" s="449">
        <v>0</v>
      </c>
      <c r="L32" s="401">
        <f t="shared" si="5"/>
        <v>0</v>
      </c>
      <c r="M32" s="450"/>
      <c r="N32" s="334">
        <v>4</v>
      </c>
      <c r="O32" s="196" t="s">
        <v>161</v>
      </c>
    </row>
    <row r="33" spans="1:15" s="196" customFormat="1" ht="13.5" customHeight="1">
      <c r="A33" s="400" t="s">
        <v>179</v>
      </c>
      <c r="B33" s="403">
        <v>5</v>
      </c>
      <c r="C33" s="419" t="s">
        <v>719</v>
      </c>
      <c r="D33" s="451" t="s">
        <v>272</v>
      </c>
      <c r="E33" s="400" t="s">
        <v>256</v>
      </c>
      <c r="F33" s="401">
        <v>23.3</v>
      </c>
      <c r="G33" s="402"/>
      <c r="H33" s="402">
        <f>ROUND(F33*G33,2)</f>
        <v>0</v>
      </c>
      <c r="I33" s="449">
        <v>0</v>
      </c>
      <c r="J33" s="401">
        <f t="shared" si="4"/>
        <v>0</v>
      </c>
      <c r="K33" s="449">
        <v>0</v>
      </c>
      <c r="L33" s="401">
        <f t="shared" si="5"/>
        <v>0</v>
      </c>
      <c r="M33" s="450">
        <f>$M$16</f>
        <v>21</v>
      </c>
      <c r="N33" s="334">
        <v>4</v>
      </c>
      <c r="O33" s="196" t="s">
        <v>161</v>
      </c>
    </row>
    <row r="34" spans="1:15" s="196" customFormat="1" ht="13.5" customHeight="1">
      <c r="A34" s="400" t="s">
        <v>182</v>
      </c>
      <c r="B34" s="408">
        <v>5</v>
      </c>
      <c r="C34" s="419" t="s">
        <v>720</v>
      </c>
      <c r="D34" s="451" t="s">
        <v>273</v>
      </c>
      <c r="E34" s="400" t="s">
        <v>274</v>
      </c>
      <c r="F34" s="401">
        <v>1</v>
      </c>
      <c r="G34" s="402"/>
      <c r="H34" s="402">
        <f>ROUND(F34*G34,2)</f>
        <v>0</v>
      </c>
      <c r="I34" s="449">
        <v>0.00702</v>
      </c>
      <c r="J34" s="401">
        <f t="shared" si="4"/>
        <v>0.00702</v>
      </c>
      <c r="K34" s="449">
        <v>0</v>
      </c>
      <c r="L34" s="401">
        <f t="shared" si="5"/>
        <v>0</v>
      </c>
      <c r="M34" s="450">
        <f>$M$16</f>
        <v>21</v>
      </c>
      <c r="N34" s="334">
        <v>4</v>
      </c>
      <c r="O34" s="196" t="s">
        <v>161</v>
      </c>
    </row>
    <row r="35" spans="1:15" s="196" customFormat="1" ht="13.5" customHeight="1">
      <c r="A35" s="446"/>
      <c r="B35" s="403"/>
      <c r="C35" s="446" t="s">
        <v>173</v>
      </c>
      <c r="D35" s="446" t="s">
        <v>275</v>
      </c>
      <c r="E35" s="446"/>
      <c r="F35" s="446"/>
      <c r="G35" s="446"/>
      <c r="H35" s="447">
        <f>SUM(H36:H38)</f>
        <v>0</v>
      </c>
      <c r="I35" s="449">
        <v>0.174</v>
      </c>
      <c r="J35" s="401">
        <f t="shared" si="4"/>
        <v>0</v>
      </c>
      <c r="K35" s="449">
        <v>0</v>
      </c>
      <c r="L35" s="401">
        <f t="shared" si="5"/>
        <v>0</v>
      </c>
      <c r="M35" s="450"/>
      <c r="N35" s="336">
        <v>8</v>
      </c>
      <c r="O35" s="335" t="s">
        <v>161</v>
      </c>
    </row>
    <row r="36" spans="1:15" s="196" customFormat="1" ht="13.5" customHeight="1">
      <c r="A36" s="400" t="s">
        <v>188</v>
      </c>
      <c r="B36" s="408">
        <v>5</v>
      </c>
      <c r="C36" s="419" t="s">
        <v>721</v>
      </c>
      <c r="D36" s="451" t="s">
        <v>276</v>
      </c>
      <c r="E36" s="400" t="s">
        <v>258</v>
      </c>
      <c r="F36" s="401">
        <v>2.796</v>
      </c>
      <c r="G36" s="402"/>
      <c r="H36" s="402">
        <f>ROUND(F36*G36,2)</f>
        <v>0</v>
      </c>
      <c r="I36" s="449">
        <v>0</v>
      </c>
      <c r="J36" s="401">
        <f t="shared" si="4"/>
        <v>0</v>
      </c>
      <c r="K36" s="449">
        <v>0</v>
      </c>
      <c r="L36" s="401">
        <f t="shared" si="5"/>
        <v>0</v>
      </c>
      <c r="M36" s="450">
        <f>$M$16</f>
        <v>21</v>
      </c>
      <c r="N36" s="334">
        <v>4</v>
      </c>
      <c r="O36" s="196" t="s">
        <v>161</v>
      </c>
    </row>
    <row r="37" spans="1:15" s="196" customFormat="1" ht="13.5" customHeight="1">
      <c r="A37" s="400" t="s">
        <v>190</v>
      </c>
      <c r="B37" s="408">
        <v>5</v>
      </c>
      <c r="C37" s="419" t="s">
        <v>789</v>
      </c>
      <c r="D37" s="398" t="s">
        <v>277</v>
      </c>
      <c r="E37" s="400" t="s">
        <v>258</v>
      </c>
      <c r="F37" s="401">
        <v>6.99</v>
      </c>
      <c r="G37" s="402"/>
      <c r="H37" s="402">
        <f>ROUND(F37*G37,2)</f>
        <v>0</v>
      </c>
      <c r="I37" s="449">
        <v>0</v>
      </c>
      <c r="J37" s="401">
        <f t="shared" si="4"/>
        <v>0</v>
      </c>
      <c r="K37" s="449">
        <v>0</v>
      </c>
      <c r="L37" s="401">
        <f t="shared" si="5"/>
        <v>0</v>
      </c>
      <c r="M37" s="450">
        <f>$M$16</f>
        <v>21</v>
      </c>
      <c r="N37" s="334">
        <v>4</v>
      </c>
      <c r="O37" s="196" t="s">
        <v>161</v>
      </c>
    </row>
    <row r="38" spans="1:15" s="318" customFormat="1" ht="13.5" customHeight="1">
      <c r="A38" s="400">
        <v>21</v>
      </c>
      <c r="B38" s="403">
        <v>5</v>
      </c>
      <c r="C38" s="419" t="s">
        <v>722</v>
      </c>
      <c r="D38" s="451" t="s">
        <v>278</v>
      </c>
      <c r="E38" s="400" t="s">
        <v>247</v>
      </c>
      <c r="F38" s="401">
        <v>3.728</v>
      </c>
      <c r="G38" s="402"/>
      <c r="H38" s="402">
        <f>ROUND(F38*G38,2)</f>
        <v>0</v>
      </c>
      <c r="I38" s="446"/>
      <c r="J38" s="448">
        <f>SUM(J39:J40)</f>
        <v>0</v>
      </c>
      <c r="K38" s="446"/>
      <c r="L38" s="448">
        <f>SUM(L39:L40)</f>
        <v>0</v>
      </c>
      <c r="M38" s="450">
        <f>$M$16</f>
        <v>21</v>
      </c>
      <c r="O38" s="320" t="s">
        <v>154</v>
      </c>
    </row>
    <row r="39" spans="1:15" s="196" customFormat="1" ht="13.5" customHeight="1">
      <c r="A39" s="446"/>
      <c r="B39" s="403"/>
      <c r="C39" s="446" t="s">
        <v>177</v>
      </c>
      <c r="D39" s="446" t="s">
        <v>279</v>
      </c>
      <c r="E39" s="446"/>
      <c r="F39" s="446"/>
      <c r="G39" s="446"/>
      <c r="H39" s="447">
        <f>SUM(H40:H44)</f>
        <v>0</v>
      </c>
      <c r="I39" s="449">
        <v>0</v>
      </c>
      <c r="J39" s="401">
        <f>F39*I39</f>
        <v>0</v>
      </c>
      <c r="K39" s="449">
        <v>0</v>
      </c>
      <c r="L39" s="401">
        <f>F39*K39</f>
        <v>0</v>
      </c>
      <c r="M39" s="450"/>
      <c r="N39" s="334">
        <v>4</v>
      </c>
      <c r="O39" s="196" t="s">
        <v>161</v>
      </c>
    </row>
    <row r="40" spans="1:15" s="196" customFormat="1" ht="13.5" customHeight="1">
      <c r="A40" s="400">
        <v>22</v>
      </c>
      <c r="B40" s="408">
        <v>5</v>
      </c>
      <c r="C40" s="419" t="s">
        <v>723</v>
      </c>
      <c r="D40" s="451" t="s">
        <v>280</v>
      </c>
      <c r="E40" s="400" t="s">
        <v>247</v>
      </c>
      <c r="F40" s="401">
        <v>34.95</v>
      </c>
      <c r="G40" s="402"/>
      <c r="H40" s="402">
        <f>ROUND(F40*G40,2)</f>
        <v>0</v>
      </c>
      <c r="I40" s="449">
        <v>0</v>
      </c>
      <c r="J40" s="401">
        <f>F40*I40</f>
        <v>0</v>
      </c>
      <c r="K40" s="449">
        <v>0</v>
      </c>
      <c r="L40" s="401">
        <f>F40*K40</f>
        <v>0</v>
      </c>
      <c r="M40" s="450">
        <f>$M$16</f>
        <v>21</v>
      </c>
      <c r="N40" s="334">
        <v>4</v>
      </c>
      <c r="O40" s="196" t="s">
        <v>161</v>
      </c>
    </row>
    <row r="41" spans="1:15" s="318" customFormat="1" ht="24.75" customHeight="1">
      <c r="A41" s="400">
        <v>23</v>
      </c>
      <c r="B41" s="408">
        <v>5</v>
      </c>
      <c r="C41" s="419" t="s">
        <v>724</v>
      </c>
      <c r="D41" s="451" t="s">
        <v>281</v>
      </c>
      <c r="E41" s="400" t="s">
        <v>247</v>
      </c>
      <c r="F41" s="401">
        <v>34.95</v>
      </c>
      <c r="G41" s="402"/>
      <c r="H41" s="402">
        <f>ROUND(F41*G41,2)</f>
        <v>0</v>
      </c>
      <c r="I41" s="446"/>
      <c r="J41" s="448">
        <f>J42</f>
        <v>0</v>
      </c>
      <c r="K41" s="446"/>
      <c r="L41" s="448">
        <f>L42</f>
        <v>0</v>
      </c>
      <c r="M41" s="450">
        <f>$M$16</f>
        <v>21</v>
      </c>
      <c r="O41" s="320" t="s">
        <v>154</v>
      </c>
    </row>
    <row r="42" spans="1:15" s="196" customFormat="1" ht="24.75" customHeight="1">
      <c r="A42" s="400">
        <v>24</v>
      </c>
      <c r="B42" s="403">
        <v>5</v>
      </c>
      <c r="C42" s="419" t="s">
        <v>725</v>
      </c>
      <c r="D42" s="451" t="s">
        <v>282</v>
      </c>
      <c r="E42" s="400" t="s">
        <v>247</v>
      </c>
      <c r="F42" s="401">
        <v>58.25</v>
      </c>
      <c r="G42" s="402"/>
      <c r="H42" s="402">
        <f>ROUND(F42*G42,2)</f>
        <v>0</v>
      </c>
      <c r="I42" s="449">
        <v>0</v>
      </c>
      <c r="J42" s="401">
        <f>F42*I42</f>
        <v>0</v>
      </c>
      <c r="K42" s="449">
        <v>0</v>
      </c>
      <c r="L42" s="401">
        <f>F42*K42</f>
        <v>0</v>
      </c>
      <c r="M42" s="450">
        <f>$M$16</f>
        <v>21</v>
      </c>
      <c r="N42" s="334">
        <v>4</v>
      </c>
      <c r="O42" s="196" t="s">
        <v>161</v>
      </c>
    </row>
    <row r="43" spans="1:15" s="318" customFormat="1" ht="24.75" customHeight="1">
      <c r="A43" s="400">
        <v>25</v>
      </c>
      <c r="B43" s="403">
        <v>5</v>
      </c>
      <c r="C43" s="419" t="s">
        <v>726</v>
      </c>
      <c r="D43" s="451" t="s">
        <v>283</v>
      </c>
      <c r="E43" s="400" t="s">
        <v>247</v>
      </c>
      <c r="F43" s="401">
        <v>58.25</v>
      </c>
      <c r="G43" s="402"/>
      <c r="H43" s="402">
        <f>ROUND(F43*G43,2)</f>
        <v>0</v>
      </c>
      <c r="I43" s="446"/>
      <c r="J43" s="448">
        <f>SUM(J44:J45)</f>
        <v>0</v>
      </c>
      <c r="K43" s="446"/>
      <c r="L43" s="448">
        <f>SUM(L44:L45)</f>
        <v>0</v>
      </c>
      <c r="M43" s="450">
        <f>$M$16</f>
        <v>21</v>
      </c>
      <c r="O43" s="320" t="s">
        <v>154</v>
      </c>
    </row>
    <row r="44" spans="1:15" s="196" customFormat="1" ht="13.5" customHeight="1">
      <c r="A44" s="400">
        <v>26</v>
      </c>
      <c r="B44" s="408">
        <v>5</v>
      </c>
      <c r="C44" s="419" t="s">
        <v>727</v>
      </c>
      <c r="D44" s="451" t="s">
        <v>284</v>
      </c>
      <c r="E44" s="400" t="s">
        <v>256</v>
      </c>
      <c r="F44" s="401">
        <v>46.6</v>
      </c>
      <c r="G44" s="402"/>
      <c r="H44" s="402">
        <f>ROUND(F44*G44,2)</f>
        <v>0</v>
      </c>
      <c r="I44" s="449">
        <v>0</v>
      </c>
      <c r="J44" s="401">
        <f>F44*I44</f>
        <v>0</v>
      </c>
      <c r="K44" s="449">
        <v>0</v>
      </c>
      <c r="L44" s="401">
        <f>F44*K44</f>
        <v>0</v>
      </c>
      <c r="M44" s="450">
        <f>$M$16</f>
        <v>21</v>
      </c>
      <c r="N44" s="334">
        <v>64</v>
      </c>
      <c r="O44" s="196" t="s">
        <v>161</v>
      </c>
    </row>
    <row r="45" spans="1:15" s="196" customFormat="1" ht="13.5" customHeight="1">
      <c r="A45" s="446"/>
      <c r="B45" s="403">
        <v>5</v>
      </c>
      <c r="C45" s="446" t="s">
        <v>157</v>
      </c>
      <c r="D45" s="446" t="s">
        <v>285</v>
      </c>
      <c r="E45" s="446"/>
      <c r="F45" s="446"/>
      <c r="G45" s="446"/>
      <c r="H45" s="447">
        <f>SUM(H46:H55)</f>
        <v>0</v>
      </c>
      <c r="I45" s="449">
        <v>0</v>
      </c>
      <c r="J45" s="401">
        <f>F45*I45</f>
        <v>0</v>
      </c>
      <c r="K45" s="449">
        <v>0</v>
      </c>
      <c r="L45" s="401">
        <f>F45*K45</f>
        <v>0</v>
      </c>
      <c r="M45" s="450"/>
      <c r="N45" s="334">
        <v>64</v>
      </c>
      <c r="O45" s="196" t="s">
        <v>161</v>
      </c>
    </row>
    <row r="46" spans="1:13" s="323" customFormat="1" ht="13.5" customHeight="1">
      <c r="A46" s="400">
        <v>27</v>
      </c>
      <c r="B46" s="408">
        <v>5</v>
      </c>
      <c r="C46" s="419" t="s">
        <v>728</v>
      </c>
      <c r="D46" s="451" t="s">
        <v>286</v>
      </c>
      <c r="E46" s="400" t="s">
        <v>256</v>
      </c>
      <c r="F46" s="401">
        <v>23.3</v>
      </c>
      <c r="G46" s="402"/>
      <c r="H46" s="402">
        <f aca="true" t="shared" si="6" ref="H46:H53">ROUND(F46*G46,2)</f>
        <v>0</v>
      </c>
      <c r="I46" s="399"/>
      <c r="J46" s="455" t="e">
        <f>J14+#REF!</f>
        <v>#REF!</v>
      </c>
      <c r="K46" s="399"/>
      <c r="L46" s="455" t="e">
        <f>L14+#REF!</f>
        <v>#REF!</v>
      </c>
      <c r="M46" s="450">
        <f aca="true" t="shared" si="7" ref="M46:M55">$M$16</f>
        <v>21</v>
      </c>
    </row>
    <row r="47" spans="1:13" ht="24.75" customHeight="1">
      <c r="A47" s="400">
        <v>28</v>
      </c>
      <c r="B47" s="403">
        <v>5</v>
      </c>
      <c r="C47" s="419" t="s">
        <v>729</v>
      </c>
      <c r="D47" s="451" t="s">
        <v>367</v>
      </c>
      <c r="E47" s="400" t="s">
        <v>256</v>
      </c>
      <c r="F47" s="401">
        <v>23.3</v>
      </c>
      <c r="G47" s="402"/>
      <c r="H47" s="402">
        <f t="shared" si="6"/>
        <v>0</v>
      </c>
      <c r="I47" s="453"/>
      <c r="J47" s="453"/>
      <c r="K47" s="453"/>
      <c r="L47" s="453"/>
      <c r="M47" s="450">
        <f t="shared" si="7"/>
        <v>21</v>
      </c>
    </row>
    <row r="48" spans="1:13" ht="13.5" customHeight="1">
      <c r="A48" s="400">
        <v>29</v>
      </c>
      <c r="B48" s="408">
        <v>5</v>
      </c>
      <c r="C48" s="419" t="s">
        <v>730</v>
      </c>
      <c r="D48" s="451" t="s">
        <v>368</v>
      </c>
      <c r="E48" s="400" t="s">
        <v>256</v>
      </c>
      <c r="F48" s="401">
        <v>23.65</v>
      </c>
      <c r="G48" s="402"/>
      <c r="H48" s="402">
        <f t="shared" si="6"/>
        <v>0</v>
      </c>
      <c r="I48" s="453"/>
      <c r="J48" s="453"/>
      <c r="K48" s="453"/>
      <c r="L48" s="453"/>
      <c r="M48" s="450">
        <f t="shared" si="7"/>
        <v>21</v>
      </c>
    </row>
    <row r="49" spans="1:13" ht="24.75" customHeight="1">
      <c r="A49" s="400">
        <v>30</v>
      </c>
      <c r="B49" s="403">
        <v>5</v>
      </c>
      <c r="C49" s="419" t="s">
        <v>735</v>
      </c>
      <c r="D49" s="451" t="s">
        <v>371</v>
      </c>
      <c r="E49" s="400" t="s">
        <v>274</v>
      </c>
      <c r="F49" s="401">
        <v>1</v>
      </c>
      <c r="G49" s="402"/>
      <c r="H49" s="402">
        <f t="shared" si="6"/>
        <v>0</v>
      </c>
      <c r="I49" s="453"/>
      <c r="J49" s="453"/>
      <c r="K49" s="453"/>
      <c r="L49" s="453"/>
      <c r="M49" s="450">
        <f t="shared" si="7"/>
        <v>21</v>
      </c>
    </row>
    <row r="50" spans="1:13" ht="24.75" customHeight="1">
      <c r="A50" s="400">
        <v>31</v>
      </c>
      <c r="B50" s="408">
        <v>5</v>
      </c>
      <c r="C50" s="419" t="s">
        <v>736</v>
      </c>
      <c r="D50" s="451" t="s">
        <v>327</v>
      </c>
      <c r="E50" s="400" t="s">
        <v>274</v>
      </c>
      <c r="F50" s="401">
        <v>1</v>
      </c>
      <c r="G50" s="402"/>
      <c r="H50" s="402">
        <f t="shared" si="6"/>
        <v>0</v>
      </c>
      <c r="I50" s="453"/>
      <c r="J50" s="453"/>
      <c r="K50" s="453"/>
      <c r="L50" s="453"/>
      <c r="M50" s="450">
        <f t="shared" si="7"/>
        <v>21</v>
      </c>
    </row>
    <row r="51" spans="1:13" ht="24.75" customHeight="1">
      <c r="A51" s="400">
        <v>32</v>
      </c>
      <c r="B51" s="403">
        <v>5</v>
      </c>
      <c r="C51" s="419" t="s">
        <v>739</v>
      </c>
      <c r="D51" s="451" t="s">
        <v>333</v>
      </c>
      <c r="E51" s="400" t="s">
        <v>317</v>
      </c>
      <c r="F51" s="401">
        <v>2</v>
      </c>
      <c r="G51" s="402"/>
      <c r="H51" s="402">
        <f t="shared" si="6"/>
        <v>0</v>
      </c>
      <c r="I51" s="453"/>
      <c r="J51" s="453"/>
      <c r="K51" s="453"/>
      <c r="L51" s="453"/>
      <c r="M51" s="450">
        <f t="shared" si="7"/>
        <v>21</v>
      </c>
    </row>
    <row r="52" spans="1:13" ht="13.5" customHeight="1">
      <c r="A52" s="400">
        <v>33</v>
      </c>
      <c r="B52" s="408">
        <v>5</v>
      </c>
      <c r="C52" s="419" t="s">
        <v>740</v>
      </c>
      <c r="D52" s="451" t="s">
        <v>335</v>
      </c>
      <c r="E52" s="400" t="s">
        <v>274</v>
      </c>
      <c r="F52" s="401">
        <v>2</v>
      </c>
      <c r="G52" s="402"/>
      <c r="H52" s="402">
        <f t="shared" si="6"/>
        <v>0</v>
      </c>
      <c r="I52" s="453"/>
      <c r="J52" s="453"/>
      <c r="K52" s="453"/>
      <c r="L52" s="453"/>
      <c r="M52" s="450">
        <f t="shared" si="7"/>
        <v>21</v>
      </c>
    </row>
    <row r="53" spans="1:13" ht="24.75" customHeight="1">
      <c r="A53" s="400">
        <v>34</v>
      </c>
      <c r="B53" s="403">
        <v>5</v>
      </c>
      <c r="C53" s="419" t="s">
        <v>742</v>
      </c>
      <c r="D53" s="451" t="s">
        <v>337</v>
      </c>
      <c r="E53" s="400" t="s">
        <v>258</v>
      </c>
      <c r="F53" s="401">
        <v>15.248</v>
      </c>
      <c r="G53" s="402"/>
      <c r="H53" s="402">
        <f t="shared" si="6"/>
        <v>0</v>
      </c>
      <c r="I53" s="453"/>
      <c r="J53" s="453"/>
      <c r="K53" s="453"/>
      <c r="L53" s="453"/>
      <c r="M53" s="450">
        <f t="shared" si="7"/>
        <v>21</v>
      </c>
    </row>
    <row r="54" spans="1:13" ht="13.5" customHeight="1">
      <c r="A54" s="400">
        <v>35</v>
      </c>
      <c r="B54" s="408">
        <v>5</v>
      </c>
      <c r="C54" s="419" t="s">
        <v>744</v>
      </c>
      <c r="D54" s="451" t="s">
        <v>339</v>
      </c>
      <c r="E54" s="400" t="s">
        <v>247</v>
      </c>
      <c r="F54" s="401">
        <v>13.048</v>
      </c>
      <c r="G54" s="402"/>
      <c r="H54" s="402">
        <f>ROUND(F54*G54,2)</f>
        <v>0</v>
      </c>
      <c r="I54" s="453"/>
      <c r="J54" s="453"/>
      <c r="K54" s="453"/>
      <c r="L54" s="453"/>
      <c r="M54" s="450">
        <f t="shared" si="7"/>
        <v>21</v>
      </c>
    </row>
    <row r="55" spans="1:13" ht="24.75" customHeight="1">
      <c r="A55" s="400">
        <v>36</v>
      </c>
      <c r="B55" s="408">
        <v>5</v>
      </c>
      <c r="C55" s="419" t="s">
        <v>746</v>
      </c>
      <c r="D55" s="451" t="s">
        <v>341</v>
      </c>
      <c r="E55" s="400" t="s">
        <v>342</v>
      </c>
      <c r="F55" s="401">
        <v>2</v>
      </c>
      <c r="G55" s="402"/>
      <c r="H55" s="402">
        <f>ROUND(F55*G55,2)</f>
        <v>0</v>
      </c>
      <c r="I55" s="453"/>
      <c r="J55" s="453"/>
      <c r="K55" s="453"/>
      <c r="L55" s="453"/>
      <c r="M55" s="450">
        <f t="shared" si="7"/>
        <v>21</v>
      </c>
    </row>
    <row r="56" spans="1:13" ht="13.5" customHeight="1">
      <c r="A56" s="446"/>
      <c r="B56" s="403"/>
      <c r="C56" s="446" t="s">
        <v>163</v>
      </c>
      <c r="D56" s="446" t="s">
        <v>291</v>
      </c>
      <c r="E56" s="446"/>
      <c r="F56" s="446"/>
      <c r="G56" s="446"/>
      <c r="H56" s="447">
        <f>SUM(H57:H60)</f>
        <v>0</v>
      </c>
      <c r="I56" s="453"/>
      <c r="J56" s="453"/>
      <c r="K56" s="453"/>
      <c r="L56" s="453"/>
      <c r="M56" s="450"/>
    </row>
    <row r="57" spans="1:13" ht="13.5" customHeight="1">
      <c r="A57" s="400">
        <v>37</v>
      </c>
      <c r="B57" s="408">
        <v>5</v>
      </c>
      <c r="C57" s="419" t="s">
        <v>750</v>
      </c>
      <c r="D57" s="451" t="s">
        <v>293</v>
      </c>
      <c r="E57" s="400" t="s">
        <v>256</v>
      </c>
      <c r="F57" s="401">
        <v>46.6</v>
      </c>
      <c r="G57" s="402"/>
      <c r="H57" s="402">
        <f>ROUND(F57*G57,2)</f>
        <v>0</v>
      </c>
      <c r="I57" s="453"/>
      <c r="J57" s="453"/>
      <c r="K57" s="453"/>
      <c r="L57" s="453"/>
      <c r="M57" s="450">
        <f aca="true" t="shared" si="8" ref="M57:M66">$M$16</f>
        <v>21</v>
      </c>
    </row>
    <row r="58" spans="1:13" ht="13.5" customHeight="1">
      <c r="A58" s="400">
        <v>38</v>
      </c>
      <c r="B58" s="408">
        <v>5</v>
      </c>
      <c r="C58" s="419" t="s">
        <v>751</v>
      </c>
      <c r="D58" s="451" t="s">
        <v>295</v>
      </c>
      <c r="E58" s="400" t="s">
        <v>268</v>
      </c>
      <c r="F58" s="401">
        <v>49.023</v>
      </c>
      <c r="G58" s="402"/>
      <c r="H58" s="402">
        <f>ROUND(F58*G58,2)</f>
        <v>0</v>
      </c>
      <c r="I58" s="453"/>
      <c r="J58" s="453"/>
      <c r="K58" s="453"/>
      <c r="L58" s="453"/>
      <c r="M58" s="450">
        <f t="shared" si="8"/>
        <v>21</v>
      </c>
    </row>
    <row r="59" spans="1:13" ht="13.5" customHeight="1">
      <c r="A59" s="400">
        <v>39</v>
      </c>
      <c r="B59" s="403">
        <v>5</v>
      </c>
      <c r="C59" s="419" t="s">
        <v>752</v>
      </c>
      <c r="D59" s="451" t="s">
        <v>297</v>
      </c>
      <c r="E59" s="400" t="s">
        <v>268</v>
      </c>
      <c r="F59" s="401">
        <v>441.207</v>
      </c>
      <c r="G59" s="402"/>
      <c r="H59" s="402">
        <f>ROUND(F59*G59,2)</f>
        <v>0</v>
      </c>
      <c r="I59" s="453"/>
      <c r="J59" s="453"/>
      <c r="K59" s="453"/>
      <c r="L59" s="453"/>
      <c r="M59" s="450">
        <f t="shared" si="8"/>
        <v>21</v>
      </c>
    </row>
    <row r="60" spans="1:13" ht="13.5" customHeight="1">
      <c r="A60" s="400">
        <v>40</v>
      </c>
      <c r="B60" s="408">
        <v>5</v>
      </c>
      <c r="C60" s="419" t="s">
        <v>753</v>
      </c>
      <c r="D60" s="451" t="s">
        <v>299</v>
      </c>
      <c r="E60" s="400" t="s">
        <v>268</v>
      </c>
      <c r="F60" s="401">
        <v>49.023</v>
      </c>
      <c r="G60" s="402"/>
      <c r="H60" s="402">
        <f>ROUND(F60*G60,2)</f>
        <v>0</v>
      </c>
      <c r="I60" s="453"/>
      <c r="J60" s="453"/>
      <c r="K60" s="453"/>
      <c r="L60" s="453"/>
      <c r="M60" s="450">
        <f t="shared" si="8"/>
        <v>21</v>
      </c>
    </row>
    <row r="61" spans="1:13" ht="13.5" customHeight="1">
      <c r="A61" s="446"/>
      <c r="B61" s="403"/>
      <c r="C61" s="446" t="s">
        <v>300</v>
      </c>
      <c r="D61" s="446" t="s">
        <v>301</v>
      </c>
      <c r="E61" s="446"/>
      <c r="F61" s="446"/>
      <c r="G61" s="446"/>
      <c r="H61" s="447">
        <f>H62</f>
        <v>0</v>
      </c>
      <c r="I61" s="453"/>
      <c r="J61" s="453"/>
      <c r="K61" s="453"/>
      <c r="L61" s="453"/>
      <c r="M61" s="450"/>
    </row>
    <row r="62" spans="1:13" ht="13.5" customHeight="1">
      <c r="A62" s="400">
        <v>41</v>
      </c>
      <c r="B62" s="408">
        <v>5</v>
      </c>
      <c r="C62" s="419" t="s">
        <v>754</v>
      </c>
      <c r="D62" s="451" t="s">
        <v>303</v>
      </c>
      <c r="E62" s="400" t="s">
        <v>268</v>
      </c>
      <c r="F62" s="401">
        <v>99.205</v>
      </c>
      <c r="G62" s="402"/>
      <c r="H62" s="402">
        <f>ROUND(F62*G62,2)</f>
        <v>0</v>
      </c>
      <c r="I62" s="453"/>
      <c r="J62" s="453"/>
      <c r="K62" s="453"/>
      <c r="L62" s="453"/>
      <c r="M62" s="450">
        <f t="shared" si="8"/>
        <v>21</v>
      </c>
    </row>
    <row r="63" spans="1:13" ht="13.5" customHeight="1">
      <c r="A63" s="446"/>
      <c r="B63" s="403"/>
      <c r="C63" s="446" t="s">
        <v>266</v>
      </c>
      <c r="D63" s="446" t="s">
        <v>304</v>
      </c>
      <c r="E63" s="446"/>
      <c r="F63" s="446"/>
      <c r="G63" s="446"/>
      <c r="H63" s="447">
        <f>H64</f>
        <v>0</v>
      </c>
      <c r="I63" s="453"/>
      <c r="J63" s="453"/>
      <c r="K63" s="453"/>
      <c r="L63" s="453"/>
      <c r="M63" s="450"/>
    </row>
    <row r="64" spans="1:13" ht="13.5" customHeight="1">
      <c r="A64" s="446"/>
      <c r="B64" s="408"/>
      <c r="C64" s="446" t="s">
        <v>305</v>
      </c>
      <c r="D64" s="446" t="s">
        <v>306</v>
      </c>
      <c r="E64" s="446"/>
      <c r="F64" s="446"/>
      <c r="G64" s="446"/>
      <c r="H64" s="447">
        <f>SUM(H65:H66)</f>
        <v>0</v>
      </c>
      <c r="I64" s="453"/>
      <c r="J64" s="453"/>
      <c r="K64" s="453"/>
      <c r="L64" s="453"/>
      <c r="M64" s="450"/>
    </row>
    <row r="65" spans="1:13" ht="13.5" customHeight="1">
      <c r="A65" s="400">
        <v>42</v>
      </c>
      <c r="B65" s="403">
        <v>5</v>
      </c>
      <c r="C65" s="419" t="s">
        <v>755</v>
      </c>
      <c r="D65" s="451" t="s">
        <v>396</v>
      </c>
      <c r="E65" s="400" t="s">
        <v>309</v>
      </c>
      <c r="F65" s="401">
        <v>2</v>
      </c>
      <c r="G65" s="402"/>
      <c r="H65" s="402">
        <f>ROUND(F65*G65,2)</f>
        <v>0</v>
      </c>
      <c r="I65" s="453"/>
      <c r="J65" s="453"/>
      <c r="K65" s="453"/>
      <c r="L65" s="453"/>
      <c r="M65" s="450">
        <f t="shared" si="8"/>
        <v>21</v>
      </c>
    </row>
    <row r="66" spans="1:13" ht="13.5" customHeight="1">
      <c r="A66" s="400">
        <v>43</v>
      </c>
      <c r="B66" s="408">
        <v>5</v>
      </c>
      <c r="C66" s="419" t="s">
        <v>756</v>
      </c>
      <c r="D66" s="451" t="s">
        <v>998</v>
      </c>
      <c r="E66" s="400" t="s">
        <v>256</v>
      </c>
      <c r="F66" s="401">
        <v>23.3</v>
      </c>
      <c r="G66" s="402"/>
      <c r="H66" s="402">
        <f>ROUND(F66*G66,2)</f>
        <v>0</v>
      </c>
      <c r="I66" s="453"/>
      <c r="J66" s="453"/>
      <c r="K66" s="453"/>
      <c r="L66" s="453"/>
      <c r="M66" s="450">
        <f t="shared" si="8"/>
        <v>21</v>
      </c>
    </row>
    <row r="67" spans="1:13" ht="13.5" customHeight="1">
      <c r="A67" s="399"/>
      <c r="B67" s="453"/>
      <c r="C67" s="399"/>
      <c r="D67" s="399" t="s">
        <v>124</v>
      </c>
      <c r="E67" s="399"/>
      <c r="F67" s="399"/>
      <c r="G67" s="399"/>
      <c r="H67" s="454">
        <f>H14+H63</f>
        <v>0</v>
      </c>
      <c r="I67" s="453"/>
      <c r="J67" s="453"/>
      <c r="K67" s="453"/>
      <c r="L67" s="453"/>
      <c r="M67" s="453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A9" sqref="A9:A25"/>
    </sheetView>
  </sheetViews>
  <sheetFormatPr defaultColWidth="9.00390625" defaultRowHeight="12" customHeight="1"/>
  <cols>
    <col min="1" max="2" width="10.00390625" style="66" customWidth="1"/>
    <col min="3" max="3" width="38.421875" style="66" customWidth="1"/>
    <col min="4" max="4" width="13.57421875" style="66" customWidth="1"/>
    <col min="5" max="5" width="11.57421875" style="66" customWidth="1"/>
    <col min="6" max="6" width="13.7109375" style="66" customWidth="1"/>
    <col min="7" max="7" width="14.00390625" style="66" customWidth="1"/>
    <col min="8" max="8" width="13.8515625" style="66" customWidth="1"/>
    <col min="9" max="9" width="12.28125" style="66" hidden="1" customWidth="1"/>
    <col min="10" max="16384" width="9.00390625" style="69" customWidth="1"/>
  </cols>
  <sheetData>
    <row r="1" spans="1:9" s="66" customFormat="1" ht="22.5" customHeight="1">
      <c r="A1" s="64" t="s">
        <v>1003</v>
      </c>
      <c r="B1" s="64"/>
      <c r="C1" s="65"/>
      <c r="D1" s="65"/>
      <c r="E1" s="65"/>
      <c r="F1" s="65"/>
      <c r="G1" s="65"/>
      <c r="H1" s="65"/>
      <c r="I1" s="65"/>
    </row>
    <row r="2" spans="1:9" s="66" customFormat="1" ht="7.5" customHeight="1">
      <c r="A2" s="67"/>
      <c r="B2" s="67"/>
      <c r="C2" s="65"/>
      <c r="D2" s="65"/>
      <c r="E2" s="65"/>
      <c r="F2" s="65"/>
      <c r="G2" s="65"/>
      <c r="H2" s="65"/>
      <c r="I2" s="65"/>
    </row>
    <row r="3" spans="1:9" s="66" customFormat="1" ht="15" customHeight="1">
      <c r="A3" s="339" t="s">
        <v>72</v>
      </c>
      <c r="B3" s="339"/>
      <c r="C3" s="338" t="s">
        <v>2</v>
      </c>
      <c r="D3" s="67"/>
      <c r="E3" s="67" t="s">
        <v>73</v>
      </c>
      <c r="F3" s="416">
        <v>41334</v>
      </c>
      <c r="G3" s="67"/>
      <c r="H3" s="67"/>
      <c r="I3" s="67"/>
    </row>
    <row r="4" spans="1:9" s="66" customFormat="1" ht="12.75" customHeight="1">
      <c r="A4" s="67" t="s">
        <v>11</v>
      </c>
      <c r="B4" s="67"/>
      <c r="C4" s="68" t="s">
        <v>620</v>
      </c>
      <c r="D4" s="67"/>
      <c r="E4" s="67"/>
      <c r="F4" s="68"/>
      <c r="G4" s="67"/>
      <c r="H4" s="67"/>
      <c r="I4" s="67"/>
    </row>
    <row r="5" spans="1:9" s="66" customFormat="1" ht="12.75" customHeight="1">
      <c r="A5" s="67"/>
      <c r="B5" s="67"/>
      <c r="C5" s="68"/>
      <c r="D5" s="67"/>
      <c r="E5" s="67"/>
      <c r="F5" s="67"/>
      <c r="G5" s="67"/>
      <c r="H5" s="67"/>
      <c r="I5" s="67"/>
    </row>
    <row r="6" spans="1:9" s="66" customFormat="1" ht="6.75" customHeight="1" thickBot="1">
      <c r="A6" s="67"/>
      <c r="B6" s="67"/>
      <c r="C6" s="65"/>
      <c r="D6" s="65"/>
      <c r="E6" s="65"/>
      <c r="F6" s="65"/>
      <c r="G6" s="65"/>
      <c r="H6" s="65"/>
      <c r="I6" s="65"/>
    </row>
    <row r="7" spans="1:9" s="66" customFormat="1" ht="23.25" customHeight="1">
      <c r="A7" s="358" t="s">
        <v>75</v>
      </c>
      <c r="B7" s="359" t="s">
        <v>621</v>
      </c>
      <c r="C7" s="360" t="s">
        <v>76</v>
      </c>
      <c r="D7" s="360" t="s">
        <v>77</v>
      </c>
      <c r="E7" s="418" t="s">
        <v>979</v>
      </c>
      <c r="F7" s="418" t="s">
        <v>978</v>
      </c>
      <c r="G7" s="360" t="s">
        <v>80</v>
      </c>
      <c r="H7" s="360" t="s">
        <v>81</v>
      </c>
      <c r="I7" s="361" t="s">
        <v>82</v>
      </c>
    </row>
    <row r="8" spans="1:9" s="66" customFormat="1" ht="6.75" customHeight="1">
      <c r="A8" s="362"/>
      <c r="B8" s="363"/>
      <c r="C8" s="364"/>
      <c r="D8" s="364"/>
      <c r="E8" s="364"/>
      <c r="F8" s="364"/>
      <c r="G8" s="364"/>
      <c r="H8" s="364"/>
      <c r="I8" s="365"/>
    </row>
    <row r="9" spans="1:9" s="66" customFormat="1" ht="25.5" customHeight="1">
      <c r="A9" s="366" t="s">
        <v>83</v>
      </c>
      <c r="B9" s="367"/>
      <c r="C9" s="367" t="s">
        <v>2</v>
      </c>
      <c r="D9" s="368">
        <v>0</v>
      </c>
      <c r="E9" s="368">
        <v>0</v>
      </c>
      <c r="F9" s="368">
        <f>0.21*D9</f>
        <v>0</v>
      </c>
      <c r="G9" s="368">
        <f>D9+F9</f>
        <v>0</v>
      </c>
      <c r="H9" s="368">
        <v>0</v>
      </c>
      <c r="I9" s="369" t="e">
        <f>I10+I19+I20+I24+#REF!+#REF!+#REF!+I25</f>
        <v>#VALUE!</v>
      </c>
    </row>
    <row r="10" spans="1:9" s="66" customFormat="1" ht="11.25" customHeight="1">
      <c r="A10" s="370" t="s">
        <v>84</v>
      </c>
      <c r="B10" s="371"/>
      <c r="C10" s="371" t="s">
        <v>85</v>
      </c>
      <c r="D10" s="368">
        <f aca="true" t="shared" si="0" ref="D10:D25">H10</f>
        <v>0</v>
      </c>
      <c r="E10" s="373">
        <v>0</v>
      </c>
      <c r="F10" s="373">
        <f>0.21*D10</f>
        <v>0</v>
      </c>
      <c r="G10" s="373">
        <f>D10+F10</f>
        <v>0</v>
      </c>
      <c r="H10" s="373">
        <f>SUM(H11:H18)</f>
        <v>0</v>
      </c>
      <c r="I10" s="374" t="e">
        <f>SUM(I11:I18)</f>
        <v>#VALUE!</v>
      </c>
    </row>
    <row r="11" spans="1:9" s="66" customFormat="1" ht="11.25" customHeight="1">
      <c r="A11" s="370" t="s">
        <v>86</v>
      </c>
      <c r="B11" s="375">
        <v>1</v>
      </c>
      <c r="C11" s="371" t="s">
        <v>87</v>
      </c>
      <c r="D11" s="376">
        <f t="shared" si="0"/>
        <v>0</v>
      </c>
      <c r="E11" s="376">
        <v>0</v>
      </c>
      <c r="F11" s="373">
        <f aca="true" t="shared" si="1" ref="F11:F25">0.21*D11</f>
        <v>0</v>
      </c>
      <c r="G11" s="373">
        <f aca="true" t="shared" si="2" ref="G11:G25">D11+F11</f>
        <v>0</v>
      </c>
      <c r="H11" s="376">
        <f>1!H62</f>
        <v>0</v>
      </c>
      <c r="I11" s="377" t="e">
        <f>'KL-SO 01-RA-DN 250'!R44</f>
        <v>#VALUE!</v>
      </c>
    </row>
    <row r="12" spans="1:9" s="66" customFormat="1" ht="11.25" customHeight="1">
      <c r="A12" s="370" t="s">
        <v>88</v>
      </c>
      <c r="B12" s="375">
        <v>2</v>
      </c>
      <c r="C12" s="371" t="s">
        <v>89</v>
      </c>
      <c r="D12" s="376">
        <f t="shared" si="0"/>
        <v>0</v>
      </c>
      <c r="E12" s="376">
        <v>0</v>
      </c>
      <c r="F12" s="373">
        <f t="shared" si="1"/>
        <v>0</v>
      </c>
      <c r="G12" s="373">
        <f>D12+F12</f>
        <v>0</v>
      </c>
      <c r="H12" s="376">
        <f>2!H80</f>
        <v>0</v>
      </c>
      <c r="I12" s="377" t="e">
        <f>'KL-SO 01-RA-DN 300'!R44</f>
        <v>#VALUE!</v>
      </c>
    </row>
    <row r="13" spans="1:9" s="66" customFormat="1" ht="11.25" customHeight="1">
      <c r="A13" s="370" t="s">
        <v>90</v>
      </c>
      <c r="B13" s="375">
        <v>3</v>
      </c>
      <c r="C13" s="371" t="s">
        <v>91</v>
      </c>
      <c r="D13" s="376">
        <f t="shared" si="0"/>
        <v>0</v>
      </c>
      <c r="E13" s="376">
        <v>0</v>
      </c>
      <c r="F13" s="373">
        <f t="shared" si="1"/>
        <v>0</v>
      </c>
      <c r="G13" s="373">
        <f t="shared" si="2"/>
        <v>0</v>
      </c>
      <c r="H13" s="376">
        <f>3!H94</f>
        <v>0</v>
      </c>
      <c r="I13" s="377" t="e">
        <f>'KL-SO 01-RA-DN 400'!R44</f>
        <v>#VALUE!</v>
      </c>
    </row>
    <row r="14" spans="1:9" s="66" customFormat="1" ht="11.25" customHeight="1">
      <c r="A14" s="370" t="s">
        <v>92</v>
      </c>
      <c r="B14" s="375">
        <v>4</v>
      </c>
      <c r="C14" s="371" t="s">
        <v>93</v>
      </c>
      <c r="D14" s="376">
        <f t="shared" si="0"/>
        <v>0</v>
      </c>
      <c r="E14" s="376">
        <v>0</v>
      </c>
      <c r="F14" s="373">
        <f t="shared" si="1"/>
        <v>0</v>
      </c>
      <c r="G14" s="373">
        <f t="shared" si="2"/>
        <v>0</v>
      </c>
      <c r="H14" s="376">
        <f>4!H26</f>
        <v>0</v>
      </c>
      <c r="I14" s="377" t="e">
        <f>'KL-SO 01-RA-SKL DN 400'!R44</f>
        <v>#VALUE!</v>
      </c>
    </row>
    <row r="15" spans="1:9" s="66" customFormat="1" ht="11.25" customHeight="1">
      <c r="A15" s="370" t="s">
        <v>94</v>
      </c>
      <c r="B15" s="375">
        <v>5</v>
      </c>
      <c r="C15" s="371" t="s">
        <v>95</v>
      </c>
      <c r="D15" s="376">
        <f t="shared" si="0"/>
        <v>0</v>
      </c>
      <c r="E15" s="376">
        <v>0</v>
      </c>
      <c r="F15" s="373">
        <f t="shared" si="1"/>
        <v>0</v>
      </c>
      <c r="G15" s="373">
        <f t="shared" si="2"/>
        <v>0</v>
      </c>
      <c r="H15" s="376">
        <f>5!H67</f>
        <v>0</v>
      </c>
      <c r="I15" s="377" t="e">
        <f>'KL-SO 01-K1-DN 400'!R44</f>
        <v>#VALUE!</v>
      </c>
    </row>
    <row r="16" spans="1:9" s="66" customFormat="1" ht="11.25" customHeight="1">
      <c r="A16" s="370" t="s">
        <v>96</v>
      </c>
      <c r="B16" s="375">
        <v>6</v>
      </c>
      <c r="C16" s="371" t="s">
        <v>97</v>
      </c>
      <c r="D16" s="376">
        <f t="shared" si="0"/>
        <v>0</v>
      </c>
      <c r="E16" s="376">
        <v>0</v>
      </c>
      <c r="F16" s="373">
        <f t="shared" si="1"/>
        <v>0</v>
      </c>
      <c r="G16" s="373">
        <f t="shared" si="2"/>
        <v>0</v>
      </c>
      <c r="H16" s="376">
        <f>6!H74</f>
        <v>0</v>
      </c>
      <c r="I16" s="377" t="e">
        <f>'KL-SO 01-D1 B-DN 1200'!R44</f>
        <v>#VALUE!</v>
      </c>
    </row>
    <row r="17" spans="1:9" s="66" customFormat="1" ht="11.25" customHeight="1">
      <c r="A17" s="370" t="s">
        <v>98</v>
      </c>
      <c r="B17" s="375">
        <v>7</v>
      </c>
      <c r="C17" s="371" t="s">
        <v>99</v>
      </c>
      <c r="D17" s="376">
        <f t="shared" si="0"/>
        <v>0</v>
      </c>
      <c r="E17" s="376">
        <v>0</v>
      </c>
      <c r="F17" s="373">
        <f t="shared" si="1"/>
        <v>0</v>
      </c>
      <c r="G17" s="373">
        <f t="shared" si="2"/>
        <v>0</v>
      </c>
      <c r="H17" s="376">
        <f>7!H78</f>
        <v>0</v>
      </c>
      <c r="I17" s="377" t="e">
        <f>'KL-SO 01 D1-SKL DN1200'!R44</f>
        <v>#VALUE!</v>
      </c>
    </row>
    <row r="18" spans="1:9" s="66" customFormat="1" ht="11.25" customHeight="1">
      <c r="A18" s="370" t="s">
        <v>100</v>
      </c>
      <c r="B18" s="375">
        <v>8</v>
      </c>
      <c r="C18" s="371" t="s">
        <v>101</v>
      </c>
      <c r="D18" s="376">
        <f t="shared" si="0"/>
        <v>0</v>
      </c>
      <c r="E18" s="376">
        <v>0</v>
      </c>
      <c r="F18" s="373">
        <f t="shared" si="1"/>
        <v>0</v>
      </c>
      <c r="G18" s="373">
        <f t="shared" si="2"/>
        <v>0</v>
      </c>
      <c r="H18" s="376">
        <f>8!H51</f>
        <v>0</v>
      </c>
      <c r="I18" s="377">
        <f>'KL-SO 01-V obj'!R44</f>
        <v>35598.380000000005</v>
      </c>
    </row>
    <row r="19" spans="1:9" s="66" customFormat="1" ht="11.25" customHeight="1">
      <c r="A19" s="370" t="s">
        <v>102</v>
      </c>
      <c r="B19" s="375">
        <v>9</v>
      </c>
      <c r="C19" s="371" t="s">
        <v>105</v>
      </c>
      <c r="D19" s="368">
        <f t="shared" si="0"/>
        <v>0</v>
      </c>
      <c r="E19" s="376">
        <v>0</v>
      </c>
      <c r="F19" s="373">
        <f t="shared" si="1"/>
        <v>0</v>
      </c>
      <c r="G19" s="373">
        <f t="shared" si="2"/>
        <v>0</v>
      </c>
      <c r="H19" s="376">
        <f>9!H80</f>
        <v>0</v>
      </c>
      <c r="I19" s="377">
        <f>'KL-SO 01.1'!R44</f>
        <v>254684.53000000003</v>
      </c>
    </row>
    <row r="20" spans="1:9" s="66" customFormat="1" ht="11.25" customHeight="1">
      <c r="A20" s="370" t="s">
        <v>104</v>
      </c>
      <c r="B20" s="375"/>
      <c r="C20" s="371" t="s">
        <v>107</v>
      </c>
      <c r="D20" s="368">
        <f t="shared" si="0"/>
        <v>0</v>
      </c>
      <c r="E20" s="373">
        <v>0</v>
      </c>
      <c r="F20" s="373">
        <f t="shared" si="1"/>
        <v>0</v>
      </c>
      <c r="G20" s="373">
        <f t="shared" si="2"/>
        <v>0</v>
      </c>
      <c r="H20" s="373">
        <f>H21+H22+H23</f>
        <v>0</v>
      </c>
      <c r="I20" s="374">
        <f>I21+I22+I23</f>
        <v>56993.82</v>
      </c>
    </row>
    <row r="21" spans="1:9" s="66" customFormat="1" ht="11.25" customHeight="1">
      <c r="A21" s="370">
        <v>10</v>
      </c>
      <c r="B21" s="375">
        <v>10</v>
      </c>
      <c r="C21" s="371" t="s">
        <v>109</v>
      </c>
      <c r="D21" s="376">
        <f t="shared" si="0"/>
        <v>0</v>
      </c>
      <c r="E21" s="376">
        <v>0</v>
      </c>
      <c r="F21" s="373">
        <f t="shared" si="1"/>
        <v>0</v>
      </c>
      <c r="G21" s="373">
        <f t="shared" si="2"/>
        <v>0</v>
      </c>
      <c r="H21" s="376">
        <f>'10'!H70</f>
        <v>0</v>
      </c>
      <c r="I21" s="377">
        <f>'KL-SO 02-KP-RA DN150'!R44</f>
        <v>44280.45</v>
      </c>
    </row>
    <row r="22" spans="1:9" s="66" customFormat="1" ht="11.25" customHeight="1">
      <c r="A22" s="370">
        <v>11</v>
      </c>
      <c r="B22" s="375">
        <v>11</v>
      </c>
      <c r="C22" s="371" t="s">
        <v>111</v>
      </c>
      <c r="D22" s="376">
        <f t="shared" si="0"/>
        <v>0</v>
      </c>
      <c r="E22" s="376">
        <v>0</v>
      </c>
      <c r="F22" s="373">
        <f t="shared" si="1"/>
        <v>0</v>
      </c>
      <c r="G22" s="373">
        <f t="shared" si="2"/>
        <v>0</v>
      </c>
      <c r="H22" s="376">
        <f>'11'!H69</f>
        <v>0</v>
      </c>
      <c r="I22" s="377">
        <f>'KL-SO 02-KP-RA DN 200'!R44</f>
        <v>11462.25</v>
      </c>
    </row>
    <row r="23" spans="1:9" s="66" customFormat="1" ht="11.25" customHeight="1">
      <c r="A23" s="370">
        <v>12</v>
      </c>
      <c r="B23" s="375">
        <v>12</v>
      </c>
      <c r="C23" s="371" t="s">
        <v>113</v>
      </c>
      <c r="D23" s="376">
        <f t="shared" si="0"/>
        <v>0</v>
      </c>
      <c r="E23" s="376">
        <v>0</v>
      </c>
      <c r="F23" s="373">
        <f t="shared" si="1"/>
        <v>0</v>
      </c>
      <c r="G23" s="373">
        <f t="shared" si="2"/>
        <v>0</v>
      </c>
      <c r="H23" s="376">
        <f>'12'!H64</f>
        <v>0</v>
      </c>
      <c r="I23" s="377">
        <f>'KL-SO 02-KP-D1 DN150'!R44</f>
        <v>1251.1200000000001</v>
      </c>
    </row>
    <row r="24" spans="1:9" s="66" customFormat="1" ht="11.25" customHeight="1">
      <c r="A24" s="370" t="s">
        <v>106</v>
      </c>
      <c r="B24" s="375">
        <v>13</v>
      </c>
      <c r="C24" s="371" t="s">
        <v>115</v>
      </c>
      <c r="D24" s="368">
        <f t="shared" si="0"/>
        <v>0</v>
      </c>
      <c r="E24" s="376">
        <v>0</v>
      </c>
      <c r="F24" s="373">
        <f t="shared" si="1"/>
        <v>0</v>
      </c>
      <c r="G24" s="373">
        <f t="shared" si="2"/>
        <v>0</v>
      </c>
      <c r="H24" s="376">
        <f>'13'!H102</f>
        <v>0</v>
      </c>
      <c r="I24" s="377" t="e">
        <f>'KL-SO 03'!R44</f>
        <v>#VALUE!</v>
      </c>
    </row>
    <row r="25" spans="1:9" s="66" customFormat="1" ht="11.25" customHeight="1">
      <c r="A25" s="370" t="s">
        <v>120</v>
      </c>
      <c r="B25" s="375">
        <v>14</v>
      </c>
      <c r="C25" s="371" t="s">
        <v>123</v>
      </c>
      <c r="D25" s="368">
        <f t="shared" si="0"/>
        <v>0</v>
      </c>
      <c r="E25" s="376">
        <v>0</v>
      </c>
      <c r="F25" s="373">
        <f t="shared" si="1"/>
        <v>0</v>
      </c>
      <c r="G25" s="373">
        <f t="shared" si="2"/>
        <v>0</v>
      </c>
      <c r="H25" s="376">
        <f>'14'!H87</f>
        <v>0</v>
      </c>
      <c r="I25" s="377" t="e">
        <f>'KL-SO 07'!R44</f>
        <v>#VALUE!</v>
      </c>
    </row>
    <row r="26" spans="1:9" ht="21.75" customHeight="1">
      <c r="A26" s="379"/>
      <c r="B26" s="375"/>
      <c r="C26" s="384" t="s">
        <v>714</v>
      </c>
      <c r="D26" s="387">
        <v>0</v>
      </c>
      <c r="E26" s="387">
        <f>E9</f>
        <v>0</v>
      </c>
      <c r="F26" s="387">
        <v>0</v>
      </c>
      <c r="G26" s="387">
        <v>0</v>
      </c>
      <c r="H26" s="387">
        <v>0</v>
      </c>
      <c r="I26" s="394" t="e">
        <f>I9</f>
        <v>#VALUE!</v>
      </c>
    </row>
    <row r="27" spans="1:9" ht="22.5" customHeight="1" thickBot="1">
      <c r="A27" s="380"/>
      <c r="B27" s="381">
        <v>15</v>
      </c>
      <c r="C27" s="382" t="s">
        <v>1004</v>
      </c>
      <c r="D27" s="396">
        <v>0</v>
      </c>
      <c r="E27" s="396"/>
      <c r="F27" s="396">
        <f>0.21*D27</f>
        <v>0</v>
      </c>
      <c r="G27" s="396">
        <f>D27+F27</f>
        <v>0</v>
      </c>
      <c r="H27" s="396">
        <v>0</v>
      </c>
      <c r="I27" s="383">
        <v>0</v>
      </c>
    </row>
    <row r="28" spans="1:9" ht="12" customHeight="1" hidden="1" thickBot="1">
      <c r="A28" s="388"/>
      <c r="B28" s="390">
        <v>21</v>
      </c>
      <c r="C28" s="391" t="s">
        <v>713</v>
      </c>
      <c r="D28" s="392" t="e">
        <f>0.1*(D10+D19+D20+D24+#REF!+#REF!+#REF!+D25)</f>
        <v>#REF!</v>
      </c>
      <c r="E28" s="392"/>
      <c r="F28" s="392" t="e">
        <f>0.2*D28</f>
        <v>#REF!</v>
      </c>
      <c r="G28" s="392" t="e">
        <f>D28+F28</f>
        <v>#REF!</v>
      </c>
      <c r="H28" s="392" t="e">
        <f>D28</f>
        <v>#REF!</v>
      </c>
      <c r="I28" s="393">
        <v>0</v>
      </c>
    </row>
    <row r="29" spans="2:9" ht="12" customHeight="1">
      <c r="B29" s="355"/>
      <c r="C29" s="356"/>
      <c r="D29" s="357"/>
      <c r="E29" s="357"/>
      <c r="F29" s="357"/>
      <c r="G29" s="357"/>
      <c r="H29" s="357"/>
      <c r="I29" s="357"/>
    </row>
    <row r="30" spans="2:9" ht="12" customHeight="1">
      <c r="B30" s="355"/>
      <c r="C30" s="385" t="s">
        <v>124</v>
      </c>
      <c r="D30" s="386">
        <f>D26+D27</f>
        <v>0</v>
      </c>
      <c r="E30" s="386">
        <f>E26+E27</f>
        <v>0</v>
      </c>
      <c r="F30" s="386">
        <f>0.21*D30</f>
        <v>0</v>
      </c>
      <c r="G30" s="417">
        <f>D30+F30</f>
        <v>0</v>
      </c>
      <c r="H30" s="386">
        <f>H26+H27</f>
        <v>0</v>
      </c>
      <c r="I30" s="386" t="e">
        <f>I26+I27</f>
        <v>#VALUE!</v>
      </c>
    </row>
  </sheetData>
  <sheetProtection/>
  <printOptions/>
  <pageMargins left="0.2" right="0.19" top="0.7874015748031497" bottom="0.787401574803149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W42" sqref="W42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400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96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SUMIF('[6]Rozpocet'!O5:O65535,8,'[6]Rozpocet'!I5:I65535)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17172.84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SUMIF('[6]Rozpocet'!O10:O65536,4,'[6]Rozpocet'!I10:I65536)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SUMIF('[6]Rozpocet'!O11:O65536,32,'[6]Rozpocet'!I11:I65536)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SUMIF('[6]Rozpocet'!O12:O65536,16,'[6]Rozpocet'!I12:I65536)+SUMIF('[6]Rozpocet'!O12:O65536,128,'[6]Rozpocet'!I12:I65536)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SUMIF('[6]Rozpocet'!O13:O65536,256,'[6]Rozpocet'!I13:I65536)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SUMIF('[6]Rozpocet'!O14:O65536,64,'[6]Rozpocet'!I14:I65536)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SUMIF('[6]Rozpocet'!O14:O65536,1024,'[6]Rozpocet'!I14:I65536)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SUMIF('[6]Rozpocet'!O14:O65536,512,'[6]Rozpocet'!I14:I65536)</f>
        <v>#VALUE!</v>
      </c>
      <c r="F45" s="223"/>
      <c r="G45" s="267">
        <v>21</v>
      </c>
      <c r="H45" s="268" t="s">
        <v>193</v>
      </c>
      <c r="I45" s="270"/>
      <c r="J45" s="272">
        <v>9427.38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SUMIF('[6]Rozpocet'!O14:O65536,"&lt;4",'[6]Rozpocet'!I14:I65536)+SUMIF('[6]Rozpocet'!O14:O65536,"&gt;1024",'[6]Rozpocet'!I14:I65536)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SUMIF('[6]Rozpocet'!N14:N65536,M49,'[6]Rozpocet'!I14:I65536)+SUMIF(P38:P42,M49,R38:R42)+IF(K45=M49,J45,0)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3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'[6]Krycí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'[6]Krycí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'[6]Krycí list'!E9</f>
        <v>SO 01 Stoka D1 B DN 1200</v>
      </c>
      <c r="C4" s="301"/>
      <c r="D4" s="299"/>
      <c r="E4" s="302"/>
    </row>
    <row r="5" spans="1:5" ht="12" customHeight="1">
      <c r="A5" s="299" t="s">
        <v>227</v>
      </c>
      <c r="B5" s="299" t="str">
        <f>'[6]Krycí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'[6]Krycí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'[6]Krycí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'[6]Rozpocet'!D14</f>
        <v>HSV</v>
      </c>
      <c r="B14" s="315" t="str">
        <f>'[6]Rozpocet'!E14</f>
        <v>Práce a dodávky HSV</v>
      </c>
      <c r="C14" s="316">
        <f>'[6]Rozpocet'!I14</f>
        <v>702416.24</v>
      </c>
      <c r="D14" s="317">
        <f>'[6]Rozpocet'!K14</f>
        <v>99.61512478</v>
      </c>
      <c r="E14" s="317">
        <f>'[6]Rozpocet'!M14</f>
        <v>41.04144</v>
      </c>
    </row>
    <row r="15" spans="1:5" s="318" customFormat="1" ht="12.75" customHeight="1">
      <c r="A15" s="319" t="str">
        <f>'[6]Rozpocet'!D15</f>
        <v>1</v>
      </c>
      <c r="B15" s="320" t="str">
        <f>'[6]Rozpocet'!E15</f>
        <v>Zemní práce</v>
      </c>
      <c r="C15" s="321">
        <f>'[6]Rozpocet'!I15</f>
        <v>147906.58</v>
      </c>
      <c r="D15" s="322">
        <f>'[6]Rozpocet'!K15</f>
        <v>53.75453056</v>
      </c>
      <c r="E15" s="322">
        <f>'[6]Rozpocet'!M15</f>
        <v>41.04144</v>
      </c>
    </row>
    <row r="16" spans="1:5" s="318" customFormat="1" ht="12.75" customHeight="1">
      <c r="A16" s="319" t="str">
        <f>'[6]Rozpocet'!D36</f>
        <v>2</v>
      </c>
      <c r="B16" s="320" t="str">
        <f>'[6]Rozpocet'!E36</f>
        <v>Zakládání</v>
      </c>
      <c r="C16" s="321">
        <f>'[6]Rozpocet'!I36</f>
        <v>3661.2</v>
      </c>
      <c r="D16" s="322">
        <f>'[6]Rozpocet'!K36</f>
        <v>2.840233</v>
      </c>
      <c r="E16" s="322">
        <f>'[6]Rozpocet'!M36</f>
        <v>0</v>
      </c>
    </row>
    <row r="17" spans="1:5" s="318" customFormat="1" ht="12.75" customHeight="1">
      <c r="A17" s="319" t="str">
        <f>'[6]Rozpocet'!D39</f>
        <v>4</v>
      </c>
      <c r="B17" s="320" t="str">
        <f>'[6]Rozpocet'!E39</f>
        <v>Vodorovné konstrukce</v>
      </c>
      <c r="C17" s="321">
        <f>'[6]Rozpocet'!I39</f>
        <v>51392.62</v>
      </c>
      <c r="D17" s="322">
        <f>'[6]Rozpocet'!K39</f>
        <v>0.11775282000000001</v>
      </c>
      <c r="E17" s="322">
        <f>'[6]Rozpocet'!M39</f>
        <v>0</v>
      </c>
    </row>
    <row r="18" spans="1:5" s="318" customFormat="1" ht="12.75" customHeight="1">
      <c r="A18" s="319" t="str">
        <f>'[6]Rozpocet'!D43</f>
        <v>5</v>
      </c>
      <c r="B18" s="320" t="str">
        <f>'[6]Rozpocet'!E43</f>
        <v>Komunikace</v>
      </c>
      <c r="C18" s="321">
        <f>'[6]Rozpocet'!I43</f>
        <v>41968.380000000005</v>
      </c>
      <c r="D18" s="322">
        <f>'[6]Rozpocet'!K43</f>
        <v>0.05832</v>
      </c>
      <c r="E18" s="322">
        <f>'[6]Rozpocet'!M43</f>
        <v>0</v>
      </c>
    </row>
    <row r="19" spans="1:5" s="318" customFormat="1" ht="12.75" customHeight="1">
      <c r="A19" s="319" t="str">
        <f>'[6]Rozpocet'!D49</f>
        <v>8</v>
      </c>
      <c r="B19" s="320" t="str">
        <f>'[6]Rozpocet'!E49</f>
        <v>Trubní vedení</v>
      </c>
      <c r="C19" s="321">
        <f>'[6]Rozpocet'!I49</f>
        <v>420255.54</v>
      </c>
      <c r="D19" s="322">
        <f>'[6]Rozpocet'!K49</f>
        <v>42.8442884</v>
      </c>
      <c r="E19" s="322">
        <f>'[6]Rozpocet'!M49</f>
        <v>0</v>
      </c>
    </row>
    <row r="20" spans="1:5" s="318" customFormat="1" ht="12.75" customHeight="1">
      <c r="A20" s="319" t="str">
        <f>'[6]Rozpocet'!D61</f>
        <v>9</v>
      </c>
      <c r="B20" s="320" t="str">
        <f>'[6]Rozpocet'!E61</f>
        <v>Ostatní konstrukce a práce-bourání</v>
      </c>
      <c r="C20" s="321">
        <f>'[6]Rozpocet'!I61</f>
        <v>21492.75</v>
      </c>
      <c r="D20" s="322">
        <f>'[6]Rozpocet'!K61</f>
        <v>0</v>
      </c>
      <c r="E20" s="322">
        <f>'[6]Rozpocet'!M61</f>
        <v>0</v>
      </c>
    </row>
    <row r="21" spans="1:5" s="318" customFormat="1" ht="12.75" customHeight="1">
      <c r="A21" s="319" t="str">
        <f>'[6]Rozpocet'!D66</f>
        <v>99</v>
      </c>
      <c r="B21" s="320" t="str">
        <f>'[6]Rozpocet'!E66</f>
        <v>Přesun hmot</v>
      </c>
      <c r="C21" s="321">
        <f>'[6]Rozpocet'!I66</f>
        <v>15739.17</v>
      </c>
      <c r="D21" s="322">
        <f>'[6]Rozpocet'!K66</f>
        <v>0</v>
      </c>
      <c r="E21" s="322">
        <f>'[6]Rozpocet'!M66</f>
        <v>0</v>
      </c>
    </row>
    <row r="22" spans="1:5" s="318" customFormat="1" ht="12.75" customHeight="1">
      <c r="A22" s="314" t="str">
        <f>'[6]Rozpocet'!D68</f>
        <v>M</v>
      </c>
      <c r="B22" s="315" t="str">
        <f>'[6]Rozpocet'!E68</f>
        <v>Práce a dodávky M</v>
      </c>
      <c r="C22" s="316">
        <f>'[6]Rozpocet'!I68</f>
        <v>13118.650000000001</v>
      </c>
      <c r="D22" s="317">
        <f>'[6]Rozpocet'!K68</f>
        <v>0</v>
      </c>
      <c r="E22" s="317">
        <f>'[6]Rozpocet'!M68</f>
        <v>0</v>
      </c>
    </row>
    <row r="23" spans="1:5" s="318" customFormat="1" ht="12.75" customHeight="1">
      <c r="A23" s="319" t="str">
        <f>'[6]Rozpocet'!D69</f>
        <v>23-M</v>
      </c>
      <c r="B23" s="320" t="str">
        <f>'[6]Rozpocet'!E69</f>
        <v>Montáže potrubí</v>
      </c>
      <c r="C23" s="321">
        <f>'[6]Rozpocet'!I69</f>
        <v>13118.650000000001</v>
      </c>
      <c r="D23" s="322">
        <f>'[6]Rozpocet'!K69</f>
        <v>0</v>
      </c>
      <c r="E23" s="322">
        <f>'[6]Rozpocet'!M69</f>
        <v>0</v>
      </c>
    </row>
    <row r="24" spans="2:5" s="323" customFormat="1" ht="12.75" customHeight="1">
      <c r="B24" s="324" t="s">
        <v>124</v>
      </c>
      <c r="C24" s="325">
        <f>'[6]Rozpocet'!I74</f>
        <v>715534.89</v>
      </c>
      <c r="D24" s="326">
        <f>'[6]Rozpocet'!K74</f>
        <v>99.61512478</v>
      </c>
      <c r="E24" s="326">
        <f>'[6]Rozpocet'!M74</f>
        <v>41.04144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D36" sqref="D36"/>
      <selection pane="bottomLeft" activeCell="D36" sqref="D36"/>
    </sheetView>
  </sheetViews>
  <sheetFormatPr defaultColWidth="9.140625" defaultRowHeight="11.25" customHeight="1"/>
  <cols>
    <col min="1" max="1" width="9.4218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8.7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'[6]Krycí list'!E7</f>
        <v>SO 01 Stoka RA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'[6]Krycí list'!E9</f>
        <v>SO 01 Stoka D1 B DN 1200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'[6]Krycí list'!P5</f>
        <v> 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6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H15+H36+H39+H43+H49+H61+H66</f>
        <v>0</v>
      </c>
      <c r="I14" s="446"/>
      <c r="J14" s="448" t="e">
        <f>J15+#REF!+#REF!+#REF!+J31+J34+J39</f>
        <v>#REF!</v>
      </c>
      <c r="K14" s="446"/>
      <c r="L14" s="448" t="e">
        <f>L15+#REF!+#REF!+#REF!+L31+L34+L39</f>
        <v>#REF!</v>
      </c>
      <c r="M14" s="446"/>
      <c r="N14" s="406"/>
      <c r="O14" s="405" t="s">
        <v>244</v>
      </c>
      <c r="P14" s="406"/>
    </row>
    <row r="15" spans="1:16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SUM(H16:H35)</f>
        <v>0</v>
      </c>
      <c r="I15" s="446"/>
      <c r="J15" s="448">
        <f>SUM(J16:J24)</f>
        <v>1.0761526000000001</v>
      </c>
      <c r="K15" s="446"/>
      <c r="L15" s="448">
        <f>SUM(L16:L24)</f>
        <v>7.071149999999999</v>
      </c>
      <c r="M15" s="446"/>
      <c r="N15" s="406"/>
      <c r="O15" s="409" t="s">
        <v>154</v>
      </c>
      <c r="P15" s="406"/>
    </row>
    <row r="16" spans="1:16" s="196" customFormat="1" ht="13.5" customHeight="1">
      <c r="A16" s="400" t="s">
        <v>154</v>
      </c>
      <c r="B16" s="403">
        <v>6</v>
      </c>
      <c r="C16" s="419" t="s">
        <v>757</v>
      </c>
      <c r="D16" s="451" t="s">
        <v>246</v>
      </c>
      <c r="E16" s="400" t="s">
        <v>247</v>
      </c>
      <c r="F16" s="401">
        <v>30.09</v>
      </c>
      <c r="G16" s="402"/>
      <c r="H16" s="402">
        <f aca="true" t="shared" si="0" ref="H16:H35">ROUND(F16*G16,2)</f>
        <v>0</v>
      </c>
      <c r="I16" s="449">
        <v>0</v>
      </c>
      <c r="J16" s="401">
        <f aca="true" t="shared" si="1" ref="J16:J24">F16*I16</f>
        <v>0</v>
      </c>
      <c r="K16" s="449">
        <v>0.235</v>
      </c>
      <c r="L16" s="401">
        <f aca="true" t="shared" si="2" ref="L16:L24">F16*K16</f>
        <v>7.071149999999999</v>
      </c>
      <c r="M16" s="450">
        <v>21</v>
      </c>
      <c r="N16" s="410">
        <v>4</v>
      </c>
      <c r="O16" s="411" t="s">
        <v>161</v>
      </c>
      <c r="P16" s="411"/>
    </row>
    <row r="17" spans="1:16" s="196" customFormat="1" ht="13.5" customHeight="1">
      <c r="A17" s="400" t="s">
        <v>161</v>
      </c>
      <c r="B17" s="403">
        <v>6</v>
      </c>
      <c r="C17" s="419" t="s">
        <v>758</v>
      </c>
      <c r="D17" s="451" t="s">
        <v>248</v>
      </c>
      <c r="E17" s="400" t="s">
        <v>247</v>
      </c>
      <c r="F17" s="401">
        <v>30.09</v>
      </c>
      <c r="G17" s="402"/>
      <c r="H17" s="402">
        <f t="shared" si="0"/>
        <v>0</v>
      </c>
      <c r="I17" s="449">
        <v>4E-05</v>
      </c>
      <c r="J17" s="401">
        <f t="shared" si="1"/>
        <v>0.0012036000000000002</v>
      </c>
      <c r="K17" s="449">
        <v>0</v>
      </c>
      <c r="L17" s="401">
        <f t="shared" si="2"/>
        <v>0</v>
      </c>
      <c r="M17" s="450">
        <f>$M$16</f>
        <v>21</v>
      </c>
      <c r="N17" s="412">
        <f>$M$16</f>
        <v>21</v>
      </c>
      <c r="O17" s="412">
        <f>$M$16</f>
        <v>21</v>
      </c>
      <c r="P17" s="411"/>
    </row>
    <row r="18" spans="1:16" s="196" customFormat="1" ht="13.5" customHeight="1">
      <c r="A18" s="400" t="s">
        <v>167</v>
      </c>
      <c r="B18" s="408">
        <v>6</v>
      </c>
      <c r="C18" s="419" t="s">
        <v>759</v>
      </c>
      <c r="D18" s="451" t="s">
        <v>249</v>
      </c>
      <c r="E18" s="400" t="s">
        <v>247</v>
      </c>
      <c r="F18" s="401">
        <v>30.09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0</v>
      </c>
      <c r="L18" s="401">
        <f t="shared" si="2"/>
        <v>0</v>
      </c>
      <c r="M18" s="450">
        <f aca="true" t="shared" si="3" ref="M18:M35">$M$16</f>
        <v>21</v>
      </c>
      <c r="N18" s="410">
        <v>4</v>
      </c>
      <c r="O18" s="411" t="s">
        <v>161</v>
      </c>
      <c r="P18" s="411"/>
    </row>
    <row r="19" spans="1:16" s="196" customFormat="1" ht="24.75" customHeight="1">
      <c r="A19" s="400" t="s">
        <v>173</v>
      </c>
      <c r="B19" s="403">
        <v>6</v>
      </c>
      <c r="C19" s="419" t="s">
        <v>760</v>
      </c>
      <c r="D19" s="451" t="s">
        <v>250</v>
      </c>
      <c r="E19" s="400" t="s">
        <v>247</v>
      </c>
      <c r="F19" s="401">
        <v>91.2</v>
      </c>
      <c r="G19" s="402"/>
      <c r="H19" s="402">
        <f t="shared" si="0"/>
        <v>0</v>
      </c>
      <c r="I19" s="449">
        <v>0.00868</v>
      </c>
      <c r="J19" s="401">
        <f t="shared" si="1"/>
        <v>0.7916160000000001</v>
      </c>
      <c r="K19" s="449">
        <v>0</v>
      </c>
      <c r="L19" s="401">
        <f t="shared" si="2"/>
        <v>0</v>
      </c>
      <c r="M19" s="450">
        <f t="shared" si="3"/>
        <v>21</v>
      </c>
      <c r="N19" s="410">
        <v>4</v>
      </c>
      <c r="O19" s="411" t="s">
        <v>161</v>
      </c>
      <c r="P19" s="411"/>
    </row>
    <row r="20" spans="1:16" s="196" customFormat="1" ht="13.5" customHeight="1">
      <c r="A20" s="400" t="s">
        <v>177</v>
      </c>
      <c r="B20" s="403">
        <v>6</v>
      </c>
      <c r="C20" s="419" t="s">
        <v>761</v>
      </c>
      <c r="D20" s="451" t="s">
        <v>251</v>
      </c>
      <c r="E20" s="400" t="s">
        <v>252</v>
      </c>
      <c r="F20" s="401">
        <v>96</v>
      </c>
      <c r="G20" s="402"/>
      <c r="H20" s="402">
        <f t="shared" si="0"/>
        <v>0</v>
      </c>
      <c r="I20" s="449">
        <v>0.00201</v>
      </c>
      <c r="J20" s="401">
        <f t="shared" si="1"/>
        <v>0.19296000000000002</v>
      </c>
      <c r="K20" s="449">
        <v>0</v>
      </c>
      <c r="L20" s="401">
        <f t="shared" si="2"/>
        <v>0</v>
      </c>
      <c r="M20" s="450">
        <f t="shared" si="3"/>
        <v>21</v>
      </c>
      <c r="N20" s="410">
        <v>4</v>
      </c>
      <c r="O20" s="411" t="s">
        <v>161</v>
      </c>
      <c r="P20" s="411"/>
    </row>
    <row r="21" spans="1:16" s="196" customFormat="1" ht="13.5" customHeight="1">
      <c r="A21" s="400" t="s">
        <v>181</v>
      </c>
      <c r="B21" s="403">
        <v>6</v>
      </c>
      <c r="C21" s="419" t="s">
        <v>762</v>
      </c>
      <c r="D21" s="451" t="s">
        <v>253</v>
      </c>
      <c r="E21" s="400" t="s">
        <v>254</v>
      </c>
      <c r="F21" s="401">
        <v>4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410">
        <v>4</v>
      </c>
      <c r="O21" s="411" t="s">
        <v>161</v>
      </c>
      <c r="P21" s="411"/>
    </row>
    <row r="22" spans="1:16" s="196" customFormat="1" ht="13.5" customHeight="1">
      <c r="A22" s="400" t="s">
        <v>184</v>
      </c>
      <c r="B22" s="408">
        <v>6</v>
      </c>
      <c r="C22" s="419" t="s">
        <v>763</v>
      </c>
      <c r="D22" s="451" t="s">
        <v>255</v>
      </c>
      <c r="E22" s="400" t="s">
        <v>256</v>
      </c>
      <c r="F22" s="401">
        <v>6.6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410">
        <v>4</v>
      </c>
      <c r="O22" s="411" t="s">
        <v>161</v>
      </c>
      <c r="P22" s="411"/>
    </row>
    <row r="23" spans="1:16" s="196" customFormat="1" ht="13.5" customHeight="1">
      <c r="A23" s="400" t="s">
        <v>157</v>
      </c>
      <c r="B23" s="408">
        <v>6</v>
      </c>
      <c r="C23" s="419" t="s">
        <v>765</v>
      </c>
      <c r="D23" s="451" t="s">
        <v>351</v>
      </c>
      <c r="E23" s="400" t="s">
        <v>258</v>
      </c>
      <c r="F23" s="401">
        <v>6.804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410">
        <v>4</v>
      </c>
      <c r="O23" s="411" t="s">
        <v>161</v>
      </c>
      <c r="P23" s="411"/>
    </row>
    <row r="24" spans="1:16" s="196" customFormat="1" ht="13.5" customHeight="1">
      <c r="A24" s="400" t="s">
        <v>163</v>
      </c>
      <c r="B24" s="408">
        <v>6</v>
      </c>
      <c r="C24" s="419" t="s">
        <v>788</v>
      </c>
      <c r="D24" s="451" t="s">
        <v>257</v>
      </c>
      <c r="E24" s="400" t="s">
        <v>258</v>
      </c>
      <c r="F24" s="401">
        <v>90.373</v>
      </c>
      <c r="G24" s="402"/>
      <c r="H24" s="402">
        <f t="shared" si="0"/>
        <v>0</v>
      </c>
      <c r="I24" s="449">
        <v>0.001</v>
      </c>
      <c r="J24" s="401">
        <f t="shared" si="1"/>
        <v>0.09037300000000001</v>
      </c>
      <c r="K24" s="449">
        <v>0</v>
      </c>
      <c r="L24" s="401">
        <f t="shared" si="2"/>
        <v>0</v>
      </c>
      <c r="M24" s="450">
        <f t="shared" si="3"/>
        <v>21</v>
      </c>
      <c r="N24" s="413">
        <v>8</v>
      </c>
      <c r="O24" s="414" t="s">
        <v>161</v>
      </c>
      <c r="P24" s="411"/>
    </row>
    <row r="25" spans="1:16" s="196" customFormat="1" ht="13.5" customHeight="1">
      <c r="A25" s="400" t="s">
        <v>169</v>
      </c>
      <c r="B25" s="408">
        <v>6</v>
      </c>
      <c r="C25" s="419" t="s">
        <v>767</v>
      </c>
      <c r="D25" s="451" t="s">
        <v>259</v>
      </c>
      <c r="E25" s="400" t="s">
        <v>258</v>
      </c>
      <c r="F25" s="401">
        <v>90.373</v>
      </c>
      <c r="G25" s="402"/>
      <c r="H25" s="402">
        <f t="shared" si="0"/>
        <v>0</v>
      </c>
      <c r="I25" s="449">
        <v>0</v>
      </c>
      <c r="J25" s="401">
        <f aca="true" t="shared" si="4" ref="J25:J30">F25*I25</f>
        <v>0</v>
      </c>
      <c r="K25" s="449">
        <v>0</v>
      </c>
      <c r="L25" s="401">
        <f aca="true" t="shared" si="5" ref="L25:L30">F25*K25</f>
        <v>0</v>
      </c>
      <c r="M25" s="450">
        <f t="shared" si="3"/>
        <v>21</v>
      </c>
      <c r="N25" s="410">
        <v>4</v>
      </c>
      <c r="O25" s="411" t="s">
        <v>161</v>
      </c>
      <c r="P25" s="411"/>
    </row>
    <row r="26" spans="1:16" s="196" customFormat="1" ht="13.5" customHeight="1">
      <c r="A26" s="400" t="s">
        <v>174</v>
      </c>
      <c r="B26" s="403">
        <v>6</v>
      </c>
      <c r="C26" s="419" t="s">
        <v>768</v>
      </c>
      <c r="D26" s="451" t="s">
        <v>260</v>
      </c>
      <c r="E26" s="400" t="s">
        <v>247</v>
      </c>
      <c r="F26" s="401">
        <v>62.436</v>
      </c>
      <c r="G26" s="402"/>
      <c r="H26" s="402">
        <f t="shared" si="0"/>
        <v>0</v>
      </c>
      <c r="I26" s="449">
        <v>0.00634</v>
      </c>
      <c r="J26" s="401">
        <f t="shared" si="4"/>
        <v>0.39584424</v>
      </c>
      <c r="K26" s="449">
        <v>0</v>
      </c>
      <c r="L26" s="401">
        <f t="shared" si="5"/>
        <v>0</v>
      </c>
      <c r="M26" s="450">
        <f t="shared" si="3"/>
        <v>21</v>
      </c>
      <c r="N26" s="410">
        <v>4</v>
      </c>
      <c r="O26" s="411" t="s">
        <v>161</v>
      </c>
      <c r="P26" s="411"/>
    </row>
    <row r="27" spans="1:16" s="196" customFormat="1" ht="13.5" customHeight="1">
      <c r="A27" s="400" t="s">
        <v>186</v>
      </c>
      <c r="B27" s="403">
        <v>6</v>
      </c>
      <c r="C27" s="419" t="s">
        <v>769</v>
      </c>
      <c r="D27" s="451" t="s">
        <v>261</v>
      </c>
      <c r="E27" s="400" t="s">
        <v>247</v>
      </c>
      <c r="F27" s="401">
        <v>62.436</v>
      </c>
      <c r="G27" s="402"/>
      <c r="H27" s="402">
        <f t="shared" si="0"/>
        <v>0</v>
      </c>
      <c r="I27" s="449">
        <v>0</v>
      </c>
      <c r="J27" s="401">
        <f t="shared" si="4"/>
        <v>0</v>
      </c>
      <c r="K27" s="449">
        <v>0</v>
      </c>
      <c r="L27" s="401">
        <f t="shared" si="5"/>
        <v>0</v>
      </c>
      <c r="M27" s="450">
        <f t="shared" si="3"/>
        <v>21</v>
      </c>
      <c r="N27" s="410">
        <v>4</v>
      </c>
      <c r="O27" s="411" t="s">
        <v>161</v>
      </c>
      <c r="P27" s="411"/>
    </row>
    <row r="28" spans="1:16" s="196" customFormat="1" ht="13.5" customHeight="1">
      <c r="A28" s="400" t="s">
        <v>159</v>
      </c>
      <c r="B28" s="408">
        <v>6</v>
      </c>
      <c r="C28" s="419" t="s">
        <v>770</v>
      </c>
      <c r="D28" s="451" t="s">
        <v>262</v>
      </c>
      <c r="E28" s="400" t="s">
        <v>258</v>
      </c>
      <c r="F28" s="401">
        <v>49.705</v>
      </c>
      <c r="G28" s="402"/>
      <c r="H28" s="402">
        <f t="shared" si="0"/>
        <v>0</v>
      </c>
      <c r="I28" s="449">
        <v>0</v>
      </c>
      <c r="J28" s="401">
        <f t="shared" si="4"/>
        <v>0</v>
      </c>
      <c r="K28" s="449">
        <v>0</v>
      </c>
      <c r="L28" s="401">
        <f t="shared" si="5"/>
        <v>0</v>
      </c>
      <c r="M28" s="450">
        <f t="shared" si="3"/>
        <v>21</v>
      </c>
      <c r="N28" s="410">
        <v>4</v>
      </c>
      <c r="O28" s="411" t="s">
        <v>161</v>
      </c>
      <c r="P28" s="411"/>
    </row>
    <row r="29" spans="1:16" s="196" customFormat="1" ht="24.75" customHeight="1">
      <c r="A29" s="400" t="s">
        <v>165</v>
      </c>
      <c r="B29" s="408">
        <v>6</v>
      </c>
      <c r="C29" s="419" t="s">
        <v>771</v>
      </c>
      <c r="D29" s="451" t="s">
        <v>263</v>
      </c>
      <c r="E29" s="400" t="s">
        <v>258</v>
      </c>
      <c r="F29" s="401">
        <v>90.373</v>
      </c>
      <c r="G29" s="402"/>
      <c r="H29" s="402">
        <f t="shared" si="0"/>
        <v>0</v>
      </c>
      <c r="I29" s="449">
        <v>0</v>
      </c>
      <c r="J29" s="401">
        <f t="shared" si="4"/>
        <v>0</v>
      </c>
      <c r="K29" s="449">
        <v>0</v>
      </c>
      <c r="L29" s="401">
        <f t="shared" si="5"/>
        <v>0</v>
      </c>
      <c r="M29" s="450">
        <f t="shared" si="3"/>
        <v>21</v>
      </c>
      <c r="N29" s="410">
        <v>4</v>
      </c>
      <c r="O29" s="411" t="s">
        <v>161</v>
      </c>
      <c r="P29" s="411"/>
    </row>
    <row r="30" spans="1:16" s="196" customFormat="1" ht="13.5" customHeight="1">
      <c r="A30" s="400" t="s">
        <v>171</v>
      </c>
      <c r="B30" s="403">
        <v>6</v>
      </c>
      <c r="C30" s="419" t="s">
        <v>772</v>
      </c>
      <c r="D30" s="451" t="s">
        <v>264</v>
      </c>
      <c r="E30" s="400" t="s">
        <v>258</v>
      </c>
      <c r="F30" s="401">
        <v>90.373</v>
      </c>
      <c r="G30" s="402"/>
      <c r="H30" s="402">
        <f t="shared" si="0"/>
        <v>0</v>
      </c>
      <c r="I30" s="449">
        <v>0.0036</v>
      </c>
      <c r="J30" s="401">
        <f t="shared" si="4"/>
        <v>0.3253428</v>
      </c>
      <c r="K30" s="449">
        <v>0</v>
      </c>
      <c r="L30" s="401">
        <f t="shared" si="5"/>
        <v>0</v>
      </c>
      <c r="M30" s="450">
        <f t="shared" si="3"/>
        <v>21</v>
      </c>
      <c r="N30" s="410">
        <v>4</v>
      </c>
      <c r="O30" s="411" t="s">
        <v>161</v>
      </c>
      <c r="P30" s="411"/>
    </row>
    <row r="31" spans="1:16" s="318" customFormat="1" ht="13.5" customHeight="1">
      <c r="A31" s="400" t="s">
        <v>175</v>
      </c>
      <c r="B31" s="408">
        <v>6</v>
      </c>
      <c r="C31" s="419" t="s">
        <v>774</v>
      </c>
      <c r="D31" s="451" t="s">
        <v>265</v>
      </c>
      <c r="E31" s="400" t="s">
        <v>258</v>
      </c>
      <c r="F31" s="401">
        <v>38.251</v>
      </c>
      <c r="G31" s="402"/>
      <c r="H31" s="402">
        <f t="shared" si="0"/>
        <v>0</v>
      </c>
      <c r="I31" s="446"/>
      <c r="J31" s="448">
        <f>SUM(J32:J33)</f>
        <v>0.37592802000000003</v>
      </c>
      <c r="K31" s="446"/>
      <c r="L31" s="448">
        <f>SUM(L32:L33)</f>
        <v>0</v>
      </c>
      <c r="M31" s="450">
        <f t="shared" si="3"/>
        <v>21</v>
      </c>
      <c r="N31" s="406"/>
      <c r="O31" s="409" t="s">
        <v>154</v>
      </c>
      <c r="P31" s="406"/>
    </row>
    <row r="32" spans="1:16" s="196" customFormat="1" ht="13.5" customHeight="1">
      <c r="A32" s="400" t="s">
        <v>179</v>
      </c>
      <c r="B32" s="408">
        <v>6</v>
      </c>
      <c r="C32" s="419" t="s">
        <v>775</v>
      </c>
      <c r="D32" s="451" t="s">
        <v>267</v>
      </c>
      <c r="E32" s="400" t="s">
        <v>268</v>
      </c>
      <c r="F32" s="401">
        <v>53.551</v>
      </c>
      <c r="G32" s="402"/>
      <c r="H32" s="402">
        <f t="shared" si="0"/>
        <v>0</v>
      </c>
      <c r="I32" s="449">
        <v>0.00702</v>
      </c>
      <c r="J32" s="401">
        <f>F32*I32</f>
        <v>0.37592802000000003</v>
      </c>
      <c r="K32" s="449">
        <v>0</v>
      </c>
      <c r="L32" s="401">
        <f>F32*K32</f>
        <v>0</v>
      </c>
      <c r="M32" s="450">
        <f t="shared" si="3"/>
        <v>21</v>
      </c>
      <c r="N32" s="410">
        <v>4</v>
      </c>
      <c r="O32" s="411" t="s">
        <v>161</v>
      </c>
      <c r="P32" s="411"/>
    </row>
    <row r="33" spans="1:16" s="196" customFormat="1" ht="24.75" customHeight="1">
      <c r="A33" s="400" t="s">
        <v>182</v>
      </c>
      <c r="B33" s="408">
        <v>6</v>
      </c>
      <c r="C33" s="419" t="s">
        <v>776</v>
      </c>
      <c r="D33" s="451" t="s">
        <v>354</v>
      </c>
      <c r="E33" s="400" t="s">
        <v>247</v>
      </c>
      <c r="F33" s="401">
        <v>22.68</v>
      </c>
      <c r="G33" s="402"/>
      <c r="H33" s="402">
        <f t="shared" si="0"/>
        <v>0</v>
      </c>
      <c r="I33" s="449">
        <v>0</v>
      </c>
      <c r="J33" s="401">
        <f>F33*I33</f>
        <v>0</v>
      </c>
      <c r="K33" s="449">
        <v>0</v>
      </c>
      <c r="L33" s="401">
        <f>F33*K33</f>
        <v>0</v>
      </c>
      <c r="M33" s="450">
        <f t="shared" si="3"/>
        <v>21</v>
      </c>
      <c r="N33" s="410">
        <v>4</v>
      </c>
      <c r="O33" s="411" t="s">
        <v>161</v>
      </c>
      <c r="P33" s="411"/>
    </row>
    <row r="34" spans="1:16" s="318" customFormat="1" ht="13.5" customHeight="1">
      <c r="A34" s="400" t="s">
        <v>188</v>
      </c>
      <c r="B34" s="408">
        <v>6</v>
      </c>
      <c r="C34" s="419" t="s">
        <v>778</v>
      </c>
      <c r="D34" s="451" t="s">
        <v>355</v>
      </c>
      <c r="E34" s="400" t="s">
        <v>247</v>
      </c>
      <c r="F34" s="401">
        <v>22.68</v>
      </c>
      <c r="G34" s="402"/>
      <c r="H34" s="402">
        <f t="shared" si="0"/>
        <v>0</v>
      </c>
      <c r="I34" s="446"/>
      <c r="J34" s="448">
        <f>SUM(J35:J38)</f>
        <v>0</v>
      </c>
      <c r="K34" s="446"/>
      <c r="L34" s="448">
        <f>SUM(L35:L38)</f>
        <v>0</v>
      </c>
      <c r="M34" s="450">
        <f t="shared" si="3"/>
        <v>21</v>
      </c>
      <c r="N34" s="406"/>
      <c r="O34" s="409" t="s">
        <v>154</v>
      </c>
      <c r="P34" s="406"/>
    </row>
    <row r="35" spans="1:16" s="196" customFormat="1" ht="13.5" customHeight="1">
      <c r="A35" s="400" t="s">
        <v>190</v>
      </c>
      <c r="B35" s="403">
        <v>6</v>
      </c>
      <c r="C35" s="419" t="s">
        <v>779</v>
      </c>
      <c r="D35" s="451" t="s">
        <v>356</v>
      </c>
      <c r="E35" s="400" t="s">
        <v>357</v>
      </c>
      <c r="F35" s="401">
        <v>0.567</v>
      </c>
      <c r="G35" s="402"/>
      <c r="H35" s="402">
        <f t="shared" si="0"/>
        <v>0</v>
      </c>
      <c r="I35" s="449">
        <v>0</v>
      </c>
      <c r="J35" s="401">
        <f>F35*I35</f>
        <v>0</v>
      </c>
      <c r="K35" s="449">
        <v>0</v>
      </c>
      <c r="L35" s="401">
        <f>F35*K35</f>
        <v>0</v>
      </c>
      <c r="M35" s="450">
        <f t="shared" si="3"/>
        <v>21</v>
      </c>
      <c r="N35" s="410">
        <v>4</v>
      </c>
      <c r="O35" s="411" t="s">
        <v>161</v>
      </c>
      <c r="P35" s="411"/>
    </row>
    <row r="36" spans="1:16" s="196" customFormat="1" ht="13.5" customHeight="1">
      <c r="A36" s="446"/>
      <c r="B36" s="408"/>
      <c r="C36" s="446" t="s">
        <v>161</v>
      </c>
      <c r="D36" s="446" t="s">
        <v>271</v>
      </c>
      <c r="E36" s="446"/>
      <c r="F36" s="446"/>
      <c r="G36" s="446"/>
      <c r="H36" s="447">
        <f>SUM(H37:H38)</f>
        <v>0</v>
      </c>
      <c r="I36" s="449">
        <v>0</v>
      </c>
      <c r="J36" s="401">
        <f>F36*I36</f>
        <v>0</v>
      </c>
      <c r="K36" s="449">
        <v>0</v>
      </c>
      <c r="L36" s="401">
        <f>F36*K36</f>
        <v>0</v>
      </c>
      <c r="M36" s="450"/>
      <c r="N36" s="410">
        <v>4</v>
      </c>
      <c r="O36" s="411" t="s">
        <v>161</v>
      </c>
      <c r="P36" s="411"/>
    </row>
    <row r="37" spans="1:16" s="196" customFormat="1" ht="13.5" customHeight="1">
      <c r="A37" s="400" t="s">
        <v>192</v>
      </c>
      <c r="B37" s="403">
        <v>6</v>
      </c>
      <c r="C37" s="419" t="s">
        <v>719</v>
      </c>
      <c r="D37" s="451" t="s">
        <v>272</v>
      </c>
      <c r="E37" s="400" t="s">
        <v>256</v>
      </c>
      <c r="F37" s="401">
        <v>12.1</v>
      </c>
      <c r="G37" s="402"/>
      <c r="H37" s="402">
        <f>ROUND(F37*G37,2)</f>
        <v>0</v>
      </c>
      <c r="I37" s="449">
        <v>0</v>
      </c>
      <c r="J37" s="401">
        <f>F37*I37</f>
        <v>0</v>
      </c>
      <c r="K37" s="449">
        <v>0</v>
      </c>
      <c r="L37" s="401">
        <f>F37*K37</f>
        <v>0</v>
      </c>
      <c r="M37" s="450">
        <f>$M$16</f>
        <v>21</v>
      </c>
      <c r="N37" s="410">
        <v>4</v>
      </c>
      <c r="O37" s="411" t="s">
        <v>161</v>
      </c>
      <c r="P37" s="411"/>
    </row>
    <row r="38" spans="1:16" s="196" customFormat="1" ht="13.5" customHeight="1">
      <c r="A38" s="400" t="s">
        <v>194</v>
      </c>
      <c r="B38" s="408">
        <v>6</v>
      </c>
      <c r="C38" s="419" t="s">
        <v>720</v>
      </c>
      <c r="D38" s="451" t="s">
        <v>401</v>
      </c>
      <c r="E38" s="400" t="s">
        <v>274</v>
      </c>
      <c r="F38" s="401">
        <v>1</v>
      </c>
      <c r="G38" s="402"/>
      <c r="H38" s="402">
        <f>ROUND(F38*G38,2)</f>
        <v>0</v>
      </c>
      <c r="I38" s="449">
        <v>0</v>
      </c>
      <c r="J38" s="401">
        <f>F38*I38</f>
        <v>0</v>
      </c>
      <c r="K38" s="449">
        <v>0</v>
      </c>
      <c r="L38" s="401">
        <f>F38*K38</f>
        <v>0</v>
      </c>
      <c r="M38" s="450">
        <f>$M$16</f>
        <v>21</v>
      </c>
      <c r="N38" s="410">
        <v>4</v>
      </c>
      <c r="O38" s="411" t="s">
        <v>161</v>
      </c>
      <c r="P38" s="411"/>
    </row>
    <row r="39" spans="1:16" s="318" customFormat="1" ht="13.5" customHeight="1">
      <c r="A39" s="446"/>
      <c r="B39" s="403"/>
      <c r="C39" s="446" t="s">
        <v>173</v>
      </c>
      <c r="D39" s="446" t="s">
        <v>275</v>
      </c>
      <c r="E39" s="446"/>
      <c r="F39" s="446"/>
      <c r="G39" s="446"/>
      <c r="H39" s="447">
        <f>SUM(H40:H42)</f>
        <v>0</v>
      </c>
      <c r="I39" s="446"/>
      <c r="J39" s="448">
        <f>J40</f>
        <v>0</v>
      </c>
      <c r="K39" s="446"/>
      <c r="L39" s="448">
        <f>L40</f>
        <v>0</v>
      </c>
      <c r="M39" s="450"/>
      <c r="N39" s="406"/>
      <c r="O39" s="409" t="s">
        <v>154</v>
      </c>
      <c r="P39" s="406"/>
    </row>
    <row r="40" spans="1:16" s="196" customFormat="1" ht="13.5" customHeight="1">
      <c r="A40" s="400" t="s">
        <v>198</v>
      </c>
      <c r="B40" s="408">
        <v>6</v>
      </c>
      <c r="C40" s="419" t="s">
        <v>721</v>
      </c>
      <c r="D40" s="451" t="s">
        <v>276</v>
      </c>
      <c r="E40" s="400" t="s">
        <v>258</v>
      </c>
      <c r="F40" s="401">
        <v>4.129</v>
      </c>
      <c r="G40" s="402"/>
      <c r="H40" s="402">
        <f>ROUND(F40*G40,2)</f>
        <v>0</v>
      </c>
      <c r="I40" s="449">
        <v>0</v>
      </c>
      <c r="J40" s="401">
        <f>F40*I40</f>
        <v>0</v>
      </c>
      <c r="K40" s="449">
        <v>0</v>
      </c>
      <c r="L40" s="401">
        <f>F40*K40</f>
        <v>0</v>
      </c>
      <c r="M40" s="450">
        <f>$M$16</f>
        <v>21</v>
      </c>
      <c r="N40" s="410">
        <v>4</v>
      </c>
      <c r="O40" s="411" t="s">
        <v>161</v>
      </c>
      <c r="P40" s="411"/>
    </row>
    <row r="41" spans="1:16" s="196" customFormat="1" ht="13.5" customHeight="1">
      <c r="A41" s="400" t="s">
        <v>202</v>
      </c>
      <c r="B41" s="408">
        <v>6</v>
      </c>
      <c r="C41" s="419" t="s">
        <v>789</v>
      </c>
      <c r="D41" s="451" t="s">
        <v>277</v>
      </c>
      <c r="E41" s="400" t="s">
        <v>258</v>
      </c>
      <c r="F41" s="401">
        <v>13.34</v>
      </c>
      <c r="G41" s="402"/>
      <c r="H41" s="402">
        <f>ROUND(F41*G41,2)</f>
        <v>0</v>
      </c>
      <c r="I41" s="449">
        <v>0</v>
      </c>
      <c r="J41" s="401">
        <f>F41*I41</f>
        <v>0</v>
      </c>
      <c r="K41" s="449">
        <v>0</v>
      </c>
      <c r="L41" s="401">
        <f>F41*K41</f>
        <v>0</v>
      </c>
      <c r="M41" s="450">
        <f>$M$16</f>
        <v>21</v>
      </c>
      <c r="N41" s="410">
        <v>64</v>
      </c>
      <c r="O41" s="411" t="s">
        <v>161</v>
      </c>
      <c r="P41" s="411"/>
    </row>
    <row r="42" spans="1:16" ht="13.5" customHeight="1">
      <c r="A42" s="400" t="s">
        <v>204</v>
      </c>
      <c r="B42" s="408">
        <v>6</v>
      </c>
      <c r="C42" s="419" t="s">
        <v>722</v>
      </c>
      <c r="D42" s="451" t="s">
        <v>278</v>
      </c>
      <c r="E42" s="400" t="s">
        <v>247</v>
      </c>
      <c r="F42" s="401">
        <v>18.573</v>
      </c>
      <c r="G42" s="402"/>
      <c r="H42" s="402">
        <f>ROUND(F42*G42,2)</f>
        <v>0</v>
      </c>
      <c r="I42" s="453"/>
      <c r="J42" s="453"/>
      <c r="K42" s="453"/>
      <c r="L42" s="453"/>
      <c r="M42" s="450">
        <f>$M$16</f>
        <v>21</v>
      </c>
      <c r="N42" s="407"/>
      <c r="O42" s="407"/>
      <c r="P42" s="407"/>
    </row>
    <row r="43" spans="1:16" ht="13.5" customHeight="1">
      <c r="A43" s="446"/>
      <c r="B43" s="408"/>
      <c r="C43" s="446" t="s">
        <v>177</v>
      </c>
      <c r="D43" s="446" t="s">
        <v>279</v>
      </c>
      <c r="E43" s="446"/>
      <c r="F43" s="446"/>
      <c r="G43" s="446"/>
      <c r="H43" s="447">
        <f>SUM(H44:H48)</f>
        <v>0</v>
      </c>
      <c r="I43" s="453"/>
      <c r="J43" s="453"/>
      <c r="K43" s="453"/>
      <c r="L43" s="453"/>
      <c r="M43" s="450"/>
      <c r="N43" s="407"/>
      <c r="O43" s="407"/>
      <c r="P43" s="407"/>
    </row>
    <row r="44" spans="1:16" ht="13.5" customHeight="1">
      <c r="A44" s="400" t="s">
        <v>205</v>
      </c>
      <c r="B44" s="403">
        <v>6</v>
      </c>
      <c r="C44" s="419" t="s">
        <v>723</v>
      </c>
      <c r="D44" s="451" t="s">
        <v>280</v>
      </c>
      <c r="E44" s="400" t="s">
        <v>247</v>
      </c>
      <c r="F44" s="401">
        <v>30.09</v>
      </c>
      <c r="G44" s="402"/>
      <c r="H44" s="402">
        <f>ROUND(F44*G44,2)</f>
        <v>0</v>
      </c>
      <c r="I44" s="453"/>
      <c r="J44" s="453"/>
      <c r="K44" s="453"/>
      <c r="L44" s="453"/>
      <c r="M44" s="450">
        <f>$M$16</f>
        <v>21</v>
      </c>
      <c r="N44" s="407"/>
      <c r="O44" s="407"/>
      <c r="P44" s="407"/>
    </row>
    <row r="45" spans="1:16" ht="24.75" customHeight="1">
      <c r="A45" s="400" t="s">
        <v>209</v>
      </c>
      <c r="B45" s="403">
        <v>6</v>
      </c>
      <c r="C45" s="419" t="s">
        <v>724</v>
      </c>
      <c r="D45" s="451" t="s">
        <v>281</v>
      </c>
      <c r="E45" s="400" t="s">
        <v>247</v>
      </c>
      <c r="F45" s="401">
        <v>30.09</v>
      </c>
      <c r="G45" s="402"/>
      <c r="H45" s="402">
        <f>ROUND(F45*G45,2)</f>
        <v>0</v>
      </c>
      <c r="I45" s="453"/>
      <c r="J45" s="453"/>
      <c r="K45" s="453"/>
      <c r="L45" s="453"/>
      <c r="M45" s="450">
        <f>$M$16</f>
        <v>21</v>
      </c>
      <c r="N45" s="407"/>
      <c r="O45" s="407"/>
      <c r="P45" s="407"/>
    </row>
    <row r="46" spans="1:16" ht="24.75" customHeight="1">
      <c r="A46" s="400" t="s">
        <v>211</v>
      </c>
      <c r="B46" s="408">
        <v>6</v>
      </c>
      <c r="C46" s="419" t="s">
        <v>725</v>
      </c>
      <c r="D46" s="451" t="s">
        <v>282</v>
      </c>
      <c r="E46" s="400" t="s">
        <v>247</v>
      </c>
      <c r="F46" s="401">
        <v>45.6</v>
      </c>
      <c r="G46" s="402"/>
      <c r="H46" s="402">
        <f>ROUND(F46*G46,2)</f>
        <v>0</v>
      </c>
      <c r="I46" s="453"/>
      <c r="J46" s="453"/>
      <c r="K46" s="453"/>
      <c r="L46" s="453"/>
      <c r="M46" s="450">
        <f aca="true" t="shared" si="6" ref="M46:M73">$M$16</f>
        <v>21</v>
      </c>
      <c r="N46" s="407"/>
      <c r="O46" s="407"/>
      <c r="P46" s="407"/>
    </row>
    <row r="47" spans="1:16" ht="24.75" customHeight="1">
      <c r="A47" s="400" t="s">
        <v>213</v>
      </c>
      <c r="B47" s="408">
        <v>6</v>
      </c>
      <c r="C47" s="419" t="s">
        <v>726</v>
      </c>
      <c r="D47" s="451" t="s">
        <v>283</v>
      </c>
      <c r="E47" s="400" t="s">
        <v>247</v>
      </c>
      <c r="F47" s="401">
        <v>45.6</v>
      </c>
      <c r="G47" s="402"/>
      <c r="H47" s="402">
        <f>ROUND(F47*G47,2)</f>
        <v>0</v>
      </c>
      <c r="I47" s="453"/>
      <c r="J47" s="453"/>
      <c r="K47" s="453"/>
      <c r="L47" s="453"/>
      <c r="M47" s="450">
        <f t="shared" si="6"/>
        <v>21</v>
      </c>
      <c r="N47" s="407"/>
      <c r="O47" s="407"/>
      <c r="P47" s="407"/>
    </row>
    <row r="48" spans="1:16" ht="13.5" customHeight="1">
      <c r="A48" s="400" t="s">
        <v>287</v>
      </c>
      <c r="B48" s="403">
        <v>6</v>
      </c>
      <c r="C48" s="419" t="s">
        <v>727</v>
      </c>
      <c r="D48" s="451" t="s">
        <v>284</v>
      </c>
      <c r="E48" s="400" t="s">
        <v>256</v>
      </c>
      <c r="F48" s="401">
        <v>16.2</v>
      </c>
      <c r="G48" s="402"/>
      <c r="H48" s="402">
        <f>ROUND(F48*G48,2)</f>
        <v>0</v>
      </c>
      <c r="I48" s="453"/>
      <c r="J48" s="453"/>
      <c r="K48" s="453"/>
      <c r="L48" s="453"/>
      <c r="M48" s="450">
        <f t="shared" si="6"/>
        <v>21</v>
      </c>
      <c r="N48" s="407"/>
      <c r="O48" s="407"/>
      <c r="P48" s="407"/>
    </row>
    <row r="49" spans="1:16" ht="13.5" customHeight="1">
      <c r="A49" s="446"/>
      <c r="B49" s="408"/>
      <c r="C49" s="446" t="s">
        <v>157</v>
      </c>
      <c r="D49" s="446" t="s">
        <v>285</v>
      </c>
      <c r="E49" s="446"/>
      <c r="F49" s="446"/>
      <c r="G49" s="446"/>
      <c r="H49" s="447">
        <f>SUM(H50:H60)</f>
        <v>0</v>
      </c>
      <c r="I49" s="453"/>
      <c r="J49" s="453"/>
      <c r="K49" s="453"/>
      <c r="L49" s="453"/>
      <c r="M49" s="450"/>
      <c r="N49" s="407"/>
      <c r="O49" s="407"/>
      <c r="P49" s="407"/>
    </row>
    <row r="50" spans="1:16" ht="13.5" customHeight="1">
      <c r="A50" s="400" t="s">
        <v>289</v>
      </c>
      <c r="B50" s="403">
        <v>6</v>
      </c>
      <c r="C50" s="419" t="s">
        <v>728</v>
      </c>
      <c r="D50" s="451" t="s">
        <v>286</v>
      </c>
      <c r="E50" s="400" t="s">
        <v>256</v>
      </c>
      <c r="F50" s="401">
        <v>12.1</v>
      </c>
      <c r="G50" s="402"/>
      <c r="H50" s="402">
        <f aca="true" t="shared" si="7" ref="H50:H60">ROUND(F50*G50,2)</f>
        <v>0</v>
      </c>
      <c r="I50" s="453"/>
      <c r="J50" s="453"/>
      <c r="K50" s="453"/>
      <c r="L50" s="453"/>
      <c r="M50" s="450">
        <f t="shared" si="6"/>
        <v>21</v>
      </c>
      <c r="N50" s="407"/>
      <c r="O50" s="407"/>
      <c r="P50" s="407"/>
    </row>
    <row r="51" spans="1:16" ht="24.75" customHeight="1">
      <c r="A51" s="400" t="s">
        <v>292</v>
      </c>
      <c r="B51" s="408">
        <v>6</v>
      </c>
      <c r="C51" s="419" t="s">
        <v>790</v>
      </c>
      <c r="D51" s="451" t="s">
        <v>402</v>
      </c>
      <c r="E51" s="400" t="s">
        <v>256</v>
      </c>
      <c r="F51" s="401">
        <v>12.1</v>
      </c>
      <c r="G51" s="402"/>
      <c r="H51" s="402">
        <f t="shared" si="7"/>
        <v>0</v>
      </c>
      <c r="I51" s="453"/>
      <c r="J51" s="453"/>
      <c r="K51" s="453"/>
      <c r="L51" s="453"/>
      <c r="M51" s="450">
        <f t="shared" si="6"/>
        <v>21</v>
      </c>
      <c r="N51" s="407"/>
      <c r="O51" s="407"/>
      <c r="P51" s="407"/>
    </row>
    <row r="52" spans="1:16" ht="24.75" customHeight="1">
      <c r="A52" s="400" t="s">
        <v>294</v>
      </c>
      <c r="B52" s="403">
        <v>6</v>
      </c>
      <c r="C52" s="419" t="s">
        <v>791</v>
      </c>
      <c r="D52" s="451" t="s">
        <v>403</v>
      </c>
      <c r="E52" s="400" t="s">
        <v>317</v>
      </c>
      <c r="F52" s="401">
        <v>12.221</v>
      </c>
      <c r="G52" s="402"/>
      <c r="H52" s="402">
        <f t="shared" si="7"/>
        <v>0</v>
      </c>
      <c r="I52" s="453"/>
      <c r="J52" s="453"/>
      <c r="K52" s="453"/>
      <c r="L52" s="453"/>
      <c r="M52" s="450">
        <f t="shared" si="6"/>
        <v>21</v>
      </c>
      <c r="N52" s="407"/>
      <c r="O52" s="407"/>
      <c r="P52" s="407"/>
    </row>
    <row r="53" spans="1:16" ht="13.5" customHeight="1">
      <c r="A53" s="400" t="s">
        <v>296</v>
      </c>
      <c r="B53" s="408">
        <v>6</v>
      </c>
      <c r="C53" s="419" t="s">
        <v>792</v>
      </c>
      <c r="D53" s="451" t="s">
        <v>404</v>
      </c>
      <c r="E53" s="400" t="s">
        <v>317</v>
      </c>
      <c r="F53" s="401">
        <v>1</v>
      </c>
      <c r="G53" s="402"/>
      <c r="H53" s="402">
        <f t="shared" si="7"/>
        <v>0</v>
      </c>
      <c r="I53" s="453"/>
      <c r="J53" s="453"/>
      <c r="K53" s="453"/>
      <c r="L53" s="453"/>
      <c r="M53" s="450">
        <f t="shared" si="6"/>
        <v>21</v>
      </c>
      <c r="N53" s="407"/>
      <c r="O53" s="407"/>
      <c r="P53" s="407"/>
    </row>
    <row r="54" spans="1:16" ht="24.75" customHeight="1">
      <c r="A54" s="400" t="s">
        <v>298</v>
      </c>
      <c r="B54" s="403">
        <v>6</v>
      </c>
      <c r="C54" s="419" t="s">
        <v>793</v>
      </c>
      <c r="D54" s="451" t="s">
        <v>405</v>
      </c>
      <c r="E54" s="400" t="s">
        <v>256</v>
      </c>
      <c r="F54" s="401">
        <v>7.41</v>
      </c>
      <c r="G54" s="402"/>
      <c r="H54" s="402">
        <f t="shared" si="7"/>
        <v>0</v>
      </c>
      <c r="I54" s="453"/>
      <c r="J54" s="453"/>
      <c r="K54" s="453"/>
      <c r="L54" s="453"/>
      <c r="M54" s="450">
        <f t="shared" si="6"/>
        <v>21</v>
      </c>
      <c r="N54" s="407"/>
      <c r="O54" s="407"/>
      <c r="P54" s="407"/>
    </row>
    <row r="55" spans="1:16" ht="13.5" customHeight="1">
      <c r="A55" s="400" t="s">
        <v>302</v>
      </c>
      <c r="B55" s="408">
        <v>6</v>
      </c>
      <c r="C55" s="419" t="s">
        <v>794</v>
      </c>
      <c r="D55" s="451" t="s">
        <v>406</v>
      </c>
      <c r="E55" s="400" t="s">
        <v>256</v>
      </c>
      <c r="F55" s="401">
        <v>7.521</v>
      </c>
      <c r="G55" s="402"/>
      <c r="H55" s="402">
        <f t="shared" si="7"/>
        <v>0</v>
      </c>
      <c r="I55" s="453"/>
      <c r="J55" s="453"/>
      <c r="K55" s="453"/>
      <c r="L55" s="453"/>
      <c r="M55" s="450">
        <f t="shared" si="6"/>
        <v>21</v>
      </c>
      <c r="N55" s="407"/>
      <c r="O55" s="407"/>
      <c r="P55" s="407"/>
    </row>
    <row r="56" spans="1:16" ht="24.75" customHeight="1">
      <c r="A56" s="400" t="s">
        <v>307</v>
      </c>
      <c r="B56" s="403">
        <v>6</v>
      </c>
      <c r="C56" s="419" t="s">
        <v>795</v>
      </c>
      <c r="D56" s="451" t="s">
        <v>407</v>
      </c>
      <c r="E56" s="400" t="s">
        <v>274</v>
      </c>
      <c r="F56" s="401">
        <v>1</v>
      </c>
      <c r="G56" s="402"/>
      <c r="H56" s="402">
        <f t="shared" si="7"/>
        <v>0</v>
      </c>
      <c r="I56" s="453"/>
      <c r="J56" s="453"/>
      <c r="K56" s="453"/>
      <c r="L56" s="453"/>
      <c r="M56" s="450">
        <f t="shared" si="6"/>
        <v>21</v>
      </c>
      <c r="N56" s="407"/>
      <c r="O56" s="407"/>
      <c r="P56" s="407"/>
    </row>
    <row r="57" spans="1:16" ht="24.75" customHeight="1">
      <c r="A57" s="400" t="s">
        <v>310</v>
      </c>
      <c r="B57" s="408">
        <v>6</v>
      </c>
      <c r="C57" s="419" t="s">
        <v>739</v>
      </c>
      <c r="D57" s="451" t="s">
        <v>333</v>
      </c>
      <c r="E57" s="400" t="s">
        <v>317</v>
      </c>
      <c r="F57" s="401">
        <v>1</v>
      </c>
      <c r="G57" s="402"/>
      <c r="H57" s="402">
        <f t="shared" si="7"/>
        <v>0</v>
      </c>
      <c r="I57" s="453"/>
      <c r="J57" s="453"/>
      <c r="K57" s="453"/>
      <c r="L57" s="453"/>
      <c r="M57" s="450">
        <f t="shared" si="6"/>
        <v>21</v>
      </c>
      <c r="N57" s="407"/>
      <c r="O57" s="407"/>
      <c r="P57" s="407"/>
    </row>
    <row r="58" spans="1:16" ht="13.5" customHeight="1">
      <c r="A58" s="400" t="s">
        <v>322</v>
      </c>
      <c r="B58" s="403">
        <v>6</v>
      </c>
      <c r="C58" s="419" t="s">
        <v>740</v>
      </c>
      <c r="D58" s="451" t="s">
        <v>335</v>
      </c>
      <c r="E58" s="400" t="s">
        <v>274</v>
      </c>
      <c r="F58" s="401">
        <v>1</v>
      </c>
      <c r="G58" s="402"/>
      <c r="H58" s="402">
        <f t="shared" si="7"/>
        <v>0</v>
      </c>
      <c r="I58" s="453"/>
      <c r="J58" s="453"/>
      <c r="K58" s="453"/>
      <c r="L58" s="453"/>
      <c r="M58" s="450">
        <f t="shared" si="6"/>
        <v>21</v>
      </c>
      <c r="N58" s="407"/>
      <c r="O58" s="407"/>
      <c r="P58" s="407"/>
    </row>
    <row r="59" spans="1:16" ht="13.5" customHeight="1">
      <c r="A59" s="400" t="s">
        <v>324</v>
      </c>
      <c r="B59" s="408">
        <v>6</v>
      </c>
      <c r="C59" s="419" t="s">
        <v>745</v>
      </c>
      <c r="D59" s="451" t="s">
        <v>408</v>
      </c>
      <c r="E59" s="400" t="s">
        <v>274</v>
      </c>
      <c r="F59" s="401">
        <v>1</v>
      </c>
      <c r="G59" s="402"/>
      <c r="H59" s="402">
        <f t="shared" si="7"/>
        <v>0</v>
      </c>
      <c r="I59" s="453"/>
      <c r="J59" s="453"/>
      <c r="K59" s="453"/>
      <c r="L59" s="453"/>
      <c r="M59" s="450">
        <f t="shared" si="6"/>
        <v>21</v>
      </c>
      <c r="N59" s="407"/>
      <c r="O59" s="407"/>
      <c r="P59" s="407"/>
    </row>
    <row r="60" spans="1:16" ht="24.75" customHeight="1">
      <c r="A60" s="400" t="s">
        <v>326</v>
      </c>
      <c r="B60" s="403">
        <v>6</v>
      </c>
      <c r="C60" s="419" t="s">
        <v>746</v>
      </c>
      <c r="D60" s="451" t="s">
        <v>341</v>
      </c>
      <c r="E60" s="400" t="s">
        <v>342</v>
      </c>
      <c r="F60" s="401">
        <v>1</v>
      </c>
      <c r="G60" s="402"/>
      <c r="H60" s="402">
        <f t="shared" si="7"/>
        <v>0</v>
      </c>
      <c r="I60" s="453"/>
      <c r="J60" s="453"/>
      <c r="K60" s="453"/>
      <c r="L60" s="453"/>
      <c r="M60" s="450">
        <f t="shared" si="6"/>
        <v>21</v>
      </c>
      <c r="N60" s="407"/>
      <c r="O60" s="407"/>
      <c r="P60" s="407"/>
    </row>
    <row r="61" spans="1:16" ht="13.5" customHeight="1">
      <c r="A61" s="446"/>
      <c r="B61" s="408"/>
      <c r="C61" s="446" t="s">
        <v>163</v>
      </c>
      <c r="D61" s="446" t="s">
        <v>291</v>
      </c>
      <c r="E61" s="446"/>
      <c r="F61" s="446"/>
      <c r="G61" s="446"/>
      <c r="H61" s="447">
        <f>SUM(H62:H65)</f>
        <v>0</v>
      </c>
      <c r="I61" s="453"/>
      <c r="J61" s="453"/>
      <c r="K61" s="453"/>
      <c r="L61" s="453"/>
      <c r="M61" s="450"/>
      <c r="N61" s="407"/>
      <c r="O61" s="407"/>
      <c r="P61" s="407"/>
    </row>
    <row r="62" spans="1:16" ht="13.5" customHeight="1">
      <c r="A62" s="400" t="s">
        <v>328</v>
      </c>
      <c r="B62" s="403">
        <v>6</v>
      </c>
      <c r="C62" s="419" t="s">
        <v>750</v>
      </c>
      <c r="D62" s="451" t="s">
        <v>293</v>
      </c>
      <c r="E62" s="400" t="s">
        <v>256</v>
      </c>
      <c r="F62" s="401">
        <v>31.02</v>
      </c>
      <c r="G62" s="402"/>
      <c r="H62" s="402">
        <f>ROUND(F62*G62,2)</f>
        <v>0</v>
      </c>
      <c r="I62" s="453"/>
      <c r="J62" s="453"/>
      <c r="K62" s="453"/>
      <c r="L62" s="453"/>
      <c r="M62" s="450">
        <f t="shared" si="6"/>
        <v>21</v>
      </c>
      <c r="N62" s="407"/>
      <c r="O62" s="407"/>
      <c r="P62" s="407"/>
    </row>
    <row r="63" spans="1:16" ht="13.5" customHeight="1">
      <c r="A63" s="400" t="s">
        <v>330</v>
      </c>
      <c r="B63" s="403">
        <v>6</v>
      </c>
      <c r="C63" s="419" t="s">
        <v>751</v>
      </c>
      <c r="D63" s="451" t="s">
        <v>295</v>
      </c>
      <c r="E63" s="400" t="s">
        <v>268</v>
      </c>
      <c r="F63" s="401">
        <v>41.041</v>
      </c>
      <c r="G63" s="402"/>
      <c r="H63" s="402">
        <f>ROUND(F63*G63,2)</f>
        <v>0</v>
      </c>
      <c r="I63" s="453"/>
      <c r="J63" s="453"/>
      <c r="K63" s="453"/>
      <c r="L63" s="453"/>
      <c r="M63" s="450">
        <f t="shared" si="6"/>
        <v>21</v>
      </c>
      <c r="N63" s="407"/>
      <c r="O63" s="407"/>
      <c r="P63" s="407"/>
    </row>
    <row r="64" spans="1:16" ht="13.5" customHeight="1">
      <c r="A64" s="400" t="s">
        <v>332</v>
      </c>
      <c r="B64" s="408">
        <v>6</v>
      </c>
      <c r="C64" s="419" t="s">
        <v>752</v>
      </c>
      <c r="D64" s="451" t="s">
        <v>297</v>
      </c>
      <c r="E64" s="400" t="s">
        <v>268</v>
      </c>
      <c r="F64" s="401">
        <v>369.369</v>
      </c>
      <c r="G64" s="402"/>
      <c r="H64" s="402">
        <f>ROUND(F64*G64,2)</f>
        <v>0</v>
      </c>
      <c r="I64" s="453"/>
      <c r="J64" s="453"/>
      <c r="K64" s="453"/>
      <c r="L64" s="453"/>
      <c r="M64" s="450">
        <f t="shared" si="6"/>
        <v>21</v>
      </c>
      <c r="N64" s="407"/>
      <c r="O64" s="407"/>
      <c r="P64" s="407"/>
    </row>
    <row r="65" spans="1:16" ht="13.5" customHeight="1">
      <c r="A65" s="400" t="s">
        <v>334</v>
      </c>
      <c r="B65" s="403">
        <v>6</v>
      </c>
      <c r="C65" s="419" t="s">
        <v>753</v>
      </c>
      <c r="D65" s="451" t="s">
        <v>299</v>
      </c>
      <c r="E65" s="400" t="s">
        <v>268</v>
      </c>
      <c r="F65" s="401">
        <v>41.041</v>
      </c>
      <c r="G65" s="402"/>
      <c r="H65" s="402">
        <f>ROUND(F65*G65,2)</f>
        <v>0</v>
      </c>
      <c r="I65" s="453"/>
      <c r="J65" s="453"/>
      <c r="K65" s="453"/>
      <c r="L65" s="453"/>
      <c r="M65" s="450">
        <f t="shared" si="6"/>
        <v>21</v>
      </c>
      <c r="N65" s="407"/>
      <c r="O65" s="407"/>
      <c r="P65" s="407"/>
    </row>
    <row r="66" spans="1:16" ht="13.5" customHeight="1">
      <c r="A66" s="446"/>
      <c r="B66" s="408"/>
      <c r="C66" s="446" t="s">
        <v>300</v>
      </c>
      <c r="D66" s="446" t="s">
        <v>301</v>
      </c>
      <c r="E66" s="446"/>
      <c r="F66" s="446"/>
      <c r="G66" s="446"/>
      <c r="H66" s="447">
        <f>H67</f>
        <v>0</v>
      </c>
      <c r="I66" s="453"/>
      <c r="J66" s="453"/>
      <c r="K66" s="453"/>
      <c r="L66" s="453"/>
      <c r="M66" s="450"/>
      <c r="N66" s="407"/>
      <c r="O66" s="407"/>
      <c r="P66" s="407"/>
    </row>
    <row r="67" spans="1:16" ht="13.5" customHeight="1">
      <c r="A67" s="400" t="s">
        <v>336</v>
      </c>
      <c r="B67" s="403">
        <v>6</v>
      </c>
      <c r="C67" s="419" t="s">
        <v>754</v>
      </c>
      <c r="D67" s="451" t="s">
        <v>303</v>
      </c>
      <c r="E67" s="400" t="s">
        <v>268</v>
      </c>
      <c r="F67" s="401">
        <v>99.615</v>
      </c>
      <c r="G67" s="402"/>
      <c r="H67" s="402">
        <f>ROUND(F67*G67,2)</f>
        <v>0</v>
      </c>
      <c r="I67" s="453"/>
      <c r="J67" s="453"/>
      <c r="K67" s="453"/>
      <c r="L67" s="453"/>
      <c r="M67" s="450">
        <f t="shared" si="6"/>
        <v>21</v>
      </c>
      <c r="N67" s="407"/>
      <c r="O67" s="407"/>
      <c r="P67" s="407"/>
    </row>
    <row r="68" spans="1:16" ht="13.5" customHeight="1">
      <c r="A68" s="446"/>
      <c r="B68" s="408"/>
      <c r="C68" s="446" t="s">
        <v>266</v>
      </c>
      <c r="D68" s="446" t="s">
        <v>304</v>
      </c>
      <c r="E68" s="446"/>
      <c r="F68" s="446"/>
      <c r="G68" s="446"/>
      <c r="H68" s="447">
        <f>H69</f>
        <v>0</v>
      </c>
      <c r="I68" s="453"/>
      <c r="J68" s="453"/>
      <c r="K68" s="453"/>
      <c r="L68" s="453"/>
      <c r="M68" s="450"/>
      <c r="N68" s="407"/>
      <c r="O68" s="407"/>
      <c r="P68" s="407"/>
    </row>
    <row r="69" spans="1:16" ht="13.5" customHeight="1">
      <c r="A69" s="446"/>
      <c r="B69" s="403"/>
      <c r="C69" s="446" t="s">
        <v>305</v>
      </c>
      <c r="D69" s="446" t="s">
        <v>306</v>
      </c>
      <c r="E69" s="446"/>
      <c r="F69" s="446"/>
      <c r="G69" s="446"/>
      <c r="H69" s="447">
        <f>SUM(H70:H73)</f>
        <v>0</v>
      </c>
      <c r="I69" s="453"/>
      <c r="J69" s="453"/>
      <c r="K69" s="453"/>
      <c r="L69" s="453"/>
      <c r="M69" s="450"/>
      <c r="N69" s="407"/>
      <c r="O69" s="407"/>
      <c r="P69" s="407"/>
    </row>
    <row r="70" spans="1:16" ht="13.5" customHeight="1">
      <c r="A70" s="400" t="s">
        <v>338</v>
      </c>
      <c r="B70" s="408">
        <v>6</v>
      </c>
      <c r="C70" s="419" t="s">
        <v>796</v>
      </c>
      <c r="D70" s="451" t="s">
        <v>409</v>
      </c>
      <c r="E70" s="400" t="s">
        <v>309</v>
      </c>
      <c r="F70" s="401">
        <v>1</v>
      </c>
      <c r="G70" s="402"/>
      <c r="H70" s="402">
        <f>ROUND(F70*G70,2)</f>
        <v>0</v>
      </c>
      <c r="I70" s="453"/>
      <c r="J70" s="453"/>
      <c r="K70" s="453"/>
      <c r="L70" s="453"/>
      <c r="M70" s="450">
        <f t="shared" si="6"/>
        <v>21</v>
      </c>
      <c r="N70" s="407"/>
      <c r="O70" s="407"/>
      <c r="P70" s="407"/>
    </row>
    <row r="71" spans="1:16" ht="13.5" customHeight="1">
      <c r="A71" s="400" t="s">
        <v>340</v>
      </c>
      <c r="B71" s="403">
        <v>6</v>
      </c>
      <c r="C71" s="419" t="s">
        <v>797</v>
      </c>
      <c r="D71" s="451" t="s">
        <v>410</v>
      </c>
      <c r="E71" s="400" t="s">
        <v>309</v>
      </c>
      <c r="F71" s="401">
        <v>1</v>
      </c>
      <c r="G71" s="402"/>
      <c r="H71" s="402">
        <f>ROUND(F71*G71,2)</f>
        <v>0</v>
      </c>
      <c r="I71" s="453"/>
      <c r="J71" s="453"/>
      <c r="K71" s="453"/>
      <c r="L71" s="453"/>
      <c r="M71" s="450">
        <f t="shared" si="6"/>
        <v>21</v>
      </c>
      <c r="N71" s="407"/>
      <c r="O71" s="407"/>
      <c r="P71" s="407"/>
    </row>
    <row r="72" spans="1:16" ht="13.5" customHeight="1">
      <c r="A72" s="400" t="s">
        <v>343</v>
      </c>
      <c r="B72" s="408">
        <v>6</v>
      </c>
      <c r="C72" s="419" t="s">
        <v>798</v>
      </c>
      <c r="D72" s="451" t="s">
        <v>999</v>
      </c>
      <c r="E72" s="400" t="s">
        <v>256</v>
      </c>
      <c r="F72" s="401">
        <v>7.41</v>
      </c>
      <c r="G72" s="402"/>
      <c r="H72" s="402">
        <f>ROUND(F72*G72,2)</f>
        <v>0</v>
      </c>
      <c r="I72" s="453"/>
      <c r="J72" s="453"/>
      <c r="K72" s="453"/>
      <c r="L72" s="453"/>
      <c r="M72" s="450">
        <f t="shared" si="6"/>
        <v>21</v>
      </c>
      <c r="N72" s="407"/>
      <c r="O72" s="407"/>
      <c r="P72" s="407"/>
    </row>
    <row r="73" spans="1:16" ht="13.5" customHeight="1">
      <c r="A73" s="400" t="s">
        <v>344</v>
      </c>
      <c r="B73" s="403">
        <v>6</v>
      </c>
      <c r="C73" s="419" t="s">
        <v>799</v>
      </c>
      <c r="D73" s="451" t="s">
        <v>1000</v>
      </c>
      <c r="E73" s="400" t="s">
        <v>256</v>
      </c>
      <c r="F73" s="401">
        <v>22.1</v>
      </c>
      <c r="G73" s="402"/>
      <c r="H73" s="402">
        <f>ROUND(F73*G73,2)</f>
        <v>0</v>
      </c>
      <c r="I73" s="453"/>
      <c r="J73" s="453"/>
      <c r="K73" s="453"/>
      <c r="L73" s="453"/>
      <c r="M73" s="450">
        <f t="shared" si="6"/>
        <v>21</v>
      </c>
      <c r="N73" s="407"/>
      <c r="O73" s="407"/>
      <c r="P73" s="407"/>
    </row>
    <row r="74" spans="1:16" ht="13.5" customHeight="1">
      <c r="A74" s="399"/>
      <c r="B74" s="453"/>
      <c r="C74" s="399"/>
      <c r="D74" s="399" t="s">
        <v>124</v>
      </c>
      <c r="E74" s="399"/>
      <c r="F74" s="399"/>
      <c r="G74" s="399"/>
      <c r="H74" s="454">
        <f>H14+H68</f>
        <v>0</v>
      </c>
      <c r="I74" s="453"/>
      <c r="J74" s="453"/>
      <c r="K74" s="453"/>
      <c r="L74" s="453"/>
      <c r="M74" s="453"/>
      <c r="N74" s="407"/>
      <c r="O74" s="407"/>
      <c r="P74" s="407"/>
    </row>
    <row r="75" ht="13.5" customHeight="1"/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R48" sqref="R48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412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98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SUMIF('[7]Rozpocet'!O5:O65535,8,'[7]Rozpocet'!I5:I65535)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20698.39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SUMIF('[7]Rozpocet'!O10:O65536,4,'[7]Rozpocet'!I10:I65536)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SUMIF('[7]Rozpocet'!O11:O65536,32,'[7]Rozpocet'!I11:I65536)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SUMIF('[7]Rozpocet'!O12:O65536,16,'[7]Rozpocet'!I12:I65536)+SUMIF('[7]Rozpocet'!O12:O65536,128,'[7]Rozpocet'!I12:I65536)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SUMIF('[7]Rozpocet'!O13:O65536,256,'[7]Rozpocet'!I13:I65536)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SUMIF('[7]Rozpocet'!O14:O65536,64,'[7]Rozpocet'!I14:I65536)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SUMIF('[7]Rozpocet'!O14:O65536,1024,'[7]Rozpocet'!I14:I65536)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SUMIF('[7]Rozpocet'!O14:O65536,512,'[7]Rozpocet'!I14:I65536)</f>
        <v>#VALUE!</v>
      </c>
      <c r="F45" s="223"/>
      <c r="G45" s="267">
        <v>21</v>
      </c>
      <c r="H45" s="268" t="s">
        <v>193</v>
      </c>
      <c r="I45" s="270"/>
      <c r="J45" s="272">
        <v>11263.1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SUMIF('[7]Rozpocet'!O14:O65536,"&lt;4",'[7]Rozpocet'!I14:I65536)+SUMIF('[7]Rozpocet'!O14:O65536,"&gt;1024",'[7]Rozpocet'!I14:I65536)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SUMIF('[7]Rozpocet'!N14:N65536,M49,'[7]Rozpocet'!I14:I65536)+SUMIF(P38:P42,M49,R38:R42)+IF(K45=M49,J45,0)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'[7]Krycí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'[7]Krycí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'[7]Krycí list'!E9</f>
        <v>SO 01 Stoka D1 SKL DN 1200</v>
      </c>
      <c r="C4" s="301"/>
      <c r="D4" s="299"/>
      <c r="E4" s="302"/>
    </row>
    <row r="5" spans="1:5" ht="12" customHeight="1">
      <c r="A5" s="299" t="s">
        <v>227</v>
      </c>
      <c r="B5" s="299" t="str">
        <f>'[7]Krycí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'[7]Krycí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'[7]Krycí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'[7]Rozpocet'!D14</f>
        <v>HSV</v>
      </c>
      <c r="B14" s="315" t="str">
        <f>'[7]Rozpocet'!E14</f>
        <v>Práce a dodávky HSV</v>
      </c>
      <c r="C14" s="316">
        <f>'[7]Rozpocet'!I14</f>
        <v>849579.17</v>
      </c>
      <c r="D14" s="317">
        <f>'[7]Rozpocet'!K14</f>
        <v>99.34618292</v>
      </c>
      <c r="E14" s="317">
        <f>'[7]Rozpocet'!M14</f>
        <v>119.95184</v>
      </c>
    </row>
    <row r="15" spans="1:5" s="318" customFormat="1" ht="12.75" customHeight="1">
      <c r="A15" s="319" t="str">
        <f>'[7]Rozpocet'!D15</f>
        <v>1</v>
      </c>
      <c r="B15" s="320" t="str">
        <f>'[7]Rozpocet'!E15</f>
        <v>Zemní práce</v>
      </c>
      <c r="C15" s="321">
        <f>'[7]Rozpocet'!I15</f>
        <v>254700.06999999998</v>
      </c>
      <c r="D15" s="322">
        <f>'[7]Rozpocet'!K15</f>
        <v>92.10111004000001</v>
      </c>
      <c r="E15" s="322">
        <f>'[7]Rozpocet'!M15</f>
        <v>73.97184</v>
      </c>
    </row>
    <row r="16" spans="1:5" s="318" customFormat="1" ht="12.75" customHeight="1">
      <c r="A16" s="319" t="str">
        <f>'[7]Rozpocet'!D38</f>
        <v>2</v>
      </c>
      <c r="B16" s="320" t="str">
        <f>'[7]Rozpocet'!E38</f>
        <v>Zakládání</v>
      </c>
      <c r="C16" s="321">
        <f>'[7]Rozpocet'!I38</f>
        <v>5174.8</v>
      </c>
      <c r="D16" s="322">
        <f>'[7]Rozpocet'!K38</f>
        <v>4.905856999999999</v>
      </c>
      <c r="E16" s="322">
        <f>'[7]Rozpocet'!M38</f>
        <v>0</v>
      </c>
    </row>
    <row r="17" spans="1:5" s="318" customFormat="1" ht="12.75" customHeight="1">
      <c r="A17" s="319" t="str">
        <f>'[7]Rozpocet'!D41</f>
        <v>3</v>
      </c>
      <c r="B17" s="320" t="str">
        <f>'[7]Rozpocet'!E41</f>
        <v>Svislé a kompletní konstrukce</v>
      </c>
      <c r="C17" s="321">
        <f>'[7]Rozpocet'!I41</f>
        <v>64790</v>
      </c>
      <c r="D17" s="322">
        <f>'[7]Rozpocet'!K41</f>
        <v>0</v>
      </c>
      <c r="E17" s="322">
        <f>'[7]Rozpocet'!M41</f>
        <v>45.980000000000004</v>
      </c>
    </row>
    <row r="18" spans="1:5" s="318" customFormat="1" ht="12.75" customHeight="1">
      <c r="A18" s="319" t="str">
        <f>'[7]Rozpocet'!D43</f>
        <v>4</v>
      </c>
      <c r="B18" s="320" t="str">
        <f>'[7]Rozpocet'!E43</f>
        <v>Vodorovné konstrukce</v>
      </c>
      <c r="C18" s="321">
        <f>'[7]Rozpocet'!I43</f>
        <v>107859.37000000001</v>
      </c>
      <c r="D18" s="322">
        <f>'[7]Rozpocet'!K43</f>
        <v>0.22881060000000003</v>
      </c>
      <c r="E18" s="322">
        <f>'[7]Rozpocet'!M43</f>
        <v>0</v>
      </c>
    </row>
    <row r="19" spans="1:5" s="318" customFormat="1" ht="12.75" customHeight="1">
      <c r="A19" s="319" t="str">
        <f>'[7]Rozpocet'!D48</f>
        <v>5</v>
      </c>
      <c r="B19" s="320" t="str">
        <f>'[7]Rozpocet'!E48</f>
        <v>Komunikace</v>
      </c>
      <c r="C19" s="321">
        <f>'[7]Rozpocet'!I48</f>
        <v>74335.36</v>
      </c>
      <c r="D19" s="322">
        <f>'[7]Rozpocet'!K48</f>
        <v>0.14976</v>
      </c>
      <c r="E19" s="322">
        <f>'[7]Rozpocet'!M48</f>
        <v>0</v>
      </c>
    </row>
    <row r="20" spans="1:5" s="318" customFormat="1" ht="12.75" customHeight="1">
      <c r="A20" s="319" t="str">
        <f>'[7]Rozpocet'!D54</f>
        <v>8</v>
      </c>
      <c r="B20" s="320" t="str">
        <f>'[7]Rozpocet'!E54</f>
        <v>Trubní vedení</v>
      </c>
      <c r="C20" s="321">
        <f>'[7]Rozpocet'!I54</f>
        <v>289363.52</v>
      </c>
      <c r="D20" s="322">
        <f>'[7]Rozpocet'!K54</f>
        <v>1.9606452799999998</v>
      </c>
      <c r="E20" s="322">
        <f>'[7]Rozpocet'!M54</f>
        <v>0</v>
      </c>
    </row>
    <row r="21" spans="1:5" s="318" customFormat="1" ht="12.75" customHeight="1">
      <c r="A21" s="319" t="str">
        <f>'[7]Rozpocet'!D65</f>
        <v>9</v>
      </c>
      <c r="B21" s="320" t="str">
        <f>'[7]Rozpocet'!E65</f>
        <v>Ostatní konstrukce a práce-bourání</v>
      </c>
      <c r="C21" s="321">
        <f>'[7]Rozpocet'!I65</f>
        <v>37659.380000000005</v>
      </c>
      <c r="D21" s="322">
        <f>'[7]Rozpocet'!K65</f>
        <v>0</v>
      </c>
      <c r="E21" s="322">
        <f>'[7]Rozpocet'!M65</f>
        <v>0</v>
      </c>
    </row>
    <row r="22" spans="1:5" s="318" customFormat="1" ht="12.75" customHeight="1">
      <c r="A22" s="319" t="str">
        <f>'[7]Rozpocet'!D70</f>
        <v>99</v>
      </c>
      <c r="B22" s="320" t="str">
        <f>'[7]Rozpocet'!E70</f>
        <v>Přesun hmot</v>
      </c>
      <c r="C22" s="321">
        <f>'[7]Rozpocet'!I70</f>
        <v>15696.67</v>
      </c>
      <c r="D22" s="322">
        <f>'[7]Rozpocet'!K70</f>
        <v>0</v>
      </c>
      <c r="E22" s="322">
        <f>'[7]Rozpocet'!M70</f>
        <v>0</v>
      </c>
    </row>
    <row r="23" spans="1:5" s="318" customFormat="1" ht="12.75" customHeight="1">
      <c r="A23" s="314" t="str">
        <f>'[7]Rozpocet'!D72</f>
        <v>M</v>
      </c>
      <c r="B23" s="315" t="str">
        <f>'[7]Rozpocet'!E72</f>
        <v>Práce a dodávky M</v>
      </c>
      <c r="C23" s="316">
        <f>'[7]Rozpocet'!I72</f>
        <v>12853.9</v>
      </c>
      <c r="D23" s="317">
        <f>'[7]Rozpocet'!K72</f>
        <v>0</v>
      </c>
      <c r="E23" s="317">
        <f>'[7]Rozpocet'!M72</f>
        <v>0</v>
      </c>
    </row>
    <row r="24" spans="1:5" s="318" customFormat="1" ht="12.75" customHeight="1">
      <c r="A24" s="319" t="str">
        <f>'[7]Rozpocet'!D73</f>
        <v>23-M</v>
      </c>
      <c r="B24" s="320" t="str">
        <f>'[7]Rozpocet'!E73</f>
        <v>Montáže potrubí</v>
      </c>
      <c r="C24" s="321">
        <f>'[7]Rozpocet'!I73</f>
        <v>12853.9</v>
      </c>
      <c r="D24" s="322">
        <f>'[7]Rozpocet'!K73</f>
        <v>0</v>
      </c>
      <c r="E24" s="322">
        <f>'[7]Rozpocet'!M73</f>
        <v>0</v>
      </c>
    </row>
    <row r="25" spans="2:5" s="323" customFormat="1" ht="12.75" customHeight="1">
      <c r="B25" s="324" t="s">
        <v>124</v>
      </c>
      <c r="C25" s="325">
        <f>'[7]Rozpocet'!I78</f>
        <v>862433.0700000001</v>
      </c>
      <c r="D25" s="326">
        <f>'[7]Rozpocet'!K78</f>
        <v>99.34618292</v>
      </c>
      <c r="E25" s="326">
        <f>'[7]Rozpocet'!M78</f>
        <v>119.95184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view="pageBreakPreview" zoomScaleSheetLayoutView="100" zoomScalePageLayoutView="0" workbookViewId="0" topLeftCell="A1">
      <pane ySplit="13" topLeftCell="A17" activePane="bottomLeft" state="frozen"/>
      <selection pane="topLeft" activeCell="A36" sqref="A36:IV36"/>
      <selection pane="bottomLeft" activeCell="A36" sqref="A36:IV36"/>
    </sheetView>
  </sheetViews>
  <sheetFormatPr defaultColWidth="9.140625" defaultRowHeight="15"/>
  <cols>
    <col min="1" max="1" width="9.7109375" style="184" customWidth="1"/>
    <col min="2" max="2" width="4.7109375" style="184" customWidth="1"/>
    <col min="3" max="3" width="12.7109375" style="184" customWidth="1"/>
    <col min="4" max="4" width="55.57421875" style="34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>
      <c r="A1" s="296" t="s">
        <v>986</v>
      </c>
      <c r="B1" s="327"/>
      <c r="C1" s="327"/>
      <c r="D1" s="342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5.75">
      <c r="A2" s="340" t="s">
        <v>72</v>
      </c>
      <c r="B2" s="341" t="s">
        <v>2</v>
      </c>
      <c r="C2" s="299"/>
      <c r="D2" s="343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2" customHeight="1">
      <c r="A3" s="298" t="s">
        <v>225</v>
      </c>
      <c r="B3" s="299" t="str">
        <f>'[7]Krycí list'!E7</f>
        <v>SO 01 Stoka RA</v>
      </c>
      <c r="C3" s="299"/>
      <c r="D3" s="343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'[7]Krycí list'!E9</f>
        <v>SO 01 Stoka D1 SKL DN 1200</v>
      </c>
      <c r="C4" s="299"/>
      <c r="D4" s="343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5">
      <c r="A5" s="299" t="s">
        <v>232</v>
      </c>
      <c r="B5" s="299" t="str">
        <f>'[7]Krycí list'!P5</f>
        <v> </v>
      </c>
      <c r="C5" s="299"/>
      <c r="D5" s="343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0.75" customHeight="1">
      <c r="A6" s="299"/>
      <c r="B6" s="299"/>
      <c r="C6" s="299"/>
      <c r="D6" s="343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343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0.5" customHeight="1">
      <c r="A8" s="299" t="s">
        <v>12</v>
      </c>
      <c r="B8" s="299" t="s">
        <v>1022</v>
      </c>
      <c r="C8" s="299"/>
      <c r="D8" s="343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0.5" customHeight="1">
      <c r="A9" s="299" t="s">
        <v>987</v>
      </c>
      <c r="B9" s="701" t="s">
        <v>988</v>
      </c>
      <c r="C9" s="701"/>
      <c r="D9" s="343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0.75" customHeight="1">
      <c r="A10" s="327"/>
      <c r="B10" s="327"/>
      <c r="C10" s="327"/>
      <c r="D10" s="342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2.5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5">
      <c r="A12" s="647">
        <v>1</v>
      </c>
      <c r="B12" s="647">
        <v>2</v>
      </c>
      <c r="C12" s="647">
        <v>3</v>
      </c>
      <c r="D12" s="653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8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H15+H38+H41+H43+H48+H54+H65+H70</f>
        <v>0</v>
      </c>
      <c r="I14" s="446"/>
      <c r="J14" s="448" t="e">
        <f>J15+#REF!+J25+#REF!+#REF!+#REF!+#REF!+J38</f>
        <v>#REF!</v>
      </c>
      <c r="K14" s="446"/>
      <c r="L14" s="448" t="e">
        <f>L15+#REF!+L25+#REF!+#REF!+#REF!+#REF!+L38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SUM(H16:H37)</f>
        <v>0</v>
      </c>
      <c r="I15" s="446"/>
      <c r="J15" s="448">
        <f>SUM(J16:J24)</f>
        <v>1.6682959999999998</v>
      </c>
      <c r="K15" s="446"/>
      <c r="L15" s="448">
        <f>SUM(L16:L24)</f>
        <v>13.094199999999999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7</v>
      </c>
      <c r="C16" s="419" t="s">
        <v>757</v>
      </c>
      <c r="D16" s="451" t="s">
        <v>246</v>
      </c>
      <c r="E16" s="400" t="s">
        <v>247</v>
      </c>
      <c r="F16" s="401">
        <v>55.72</v>
      </c>
      <c r="G16" s="402"/>
      <c r="H16" s="402">
        <f aca="true" t="shared" si="0" ref="H16:H37">ROUND(F16*G16,2)</f>
        <v>0</v>
      </c>
      <c r="I16" s="449">
        <v>0</v>
      </c>
      <c r="J16" s="401">
        <f aca="true" t="shared" si="1" ref="J16:J24">F16*I16</f>
        <v>0</v>
      </c>
      <c r="K16" s="449">
        <v>0.235</v>
      </c>
      <c r="L16" s="401">
        <f aca="true" t="shared" si="2" ref="L16:L24">F16*K16</f>
        <v>13.094199999999999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7</v>
      </c>
      <c r="C17" s="419" t="s">
        <v>758</v>
      </c>
      <c r="D17" s="451" t="s">
        <v>248</v>
      </c>
      <c r="E17" s="400" t="s">
        <v>247</v>
      </c>
      <c r="F17" s="401">
        <v>55.72</v>
      </c>
      <c r="G17" s="402"/>
      <c r="H17" s="402">
        <f t="shared" si="0"/>
        <v>0</v>
      </c>
      <c r="I17" s="449">
        <v>4E-05</v>
      </c>
      <c r="J17" s="401">
        <f t="shared" si="1"/>
        <v>0.0022288</v>
      </c>
      <c r="K17" s="449">
        <v>0</v>
      </c>
      <c r="L17" s="401">
        <f t="shared" si="2"/>
        <v>0</v>
      </c>
      <c r="M17" s="450">
        <f aca="true" t="shared" si="3" ref="M17:M37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7</v>
      </c>
      <c r="C18" s="419" t="s">
        <v>759</v>
      </c>
      <c r="D18" s="451" t="s">
        <v>249</v>
      </c>
      <c r="E18" s="400" t="s">
        <v>247</v>
      </c>
      <c r="F18" s="401">
        <v>55.72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0</v>
      </c>
      <c r="L18" s="401">
        <f t="shared" si="2"/>
        <v>0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7</v>
      </c>
      <c r="C19" s="419" t="s">
        <v>760</v>
      </c>
      <c r="D19" s="451" t="s">
        <v>250</v>
      </c>
      <c r="E19" s="400" t="s">
        <v>247</v>
      </c>
      <c r="F19" s="401">
        <v>153.04</v>
      </c>
      <c r="G19" s="402"/>
      <c r="H19" s="402">
        <f t="shared" si="0"/>
        <v>0</v>
      </c>
      <c r="I19" s="449">
        <v>0.00868</v>
      </c>
      <c r="J19" s="401">
        <f t="shared" si="1"/>
        <v>1.3283871999999999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7</v>
      </c>
      <c r="C20" s="419" t="s">
        <v>761</v>
      </c>
      <c r="D20" s="451" t="s">
        <v>251</v>
      </c>
      <c r="E20" s="400" t="s">
        <v>252</v>
      </c>
      <c r="F20" s="401">
        <v>168</v>
      </c>
      <c r="G20" s="402"/>
      <c r="H20" s="402">
        <f t="shared" si="0"/>
        <v>0</v>
      </c>
      <c r="I20" s="449">
        <v>0.00201</v>
      </c>
      <c r="J20" s="401">
        <f t="shared" si="1"/>
        <v>0.33768000000000004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7</v>
      </c>
      <c r="C21" s="419" t="s">
        <v>762</v>
      </c>
      <c r="D21" s="451" t="s">
        <v>253</v>
      </c>
      <c r="E21" s="400" t="s">
        <v>254</v>
      </c>
      <c r="F21" s="401">
        <v>7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7</v>
      </c>
      <c r="C22" s="419" t="s">
        <v>763</v>
      </c>
      <c r="D22" s="451" t="s">
        <v>255</v>
      </c>
      <c r="E22" s="400" t="s">
        <v>256</v>
      </c>
      <c r="F22" s="401">
        <v>6.6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8">
        <v>7</v>
      </c>
      <c r="C23" s="419" t="s">
        <v>765</v>
      </c>
      <c r="D23" s="451" t="s">
        <v>351</v>
      </c>
      <c r="E23" s="400" t="s">
        <v>258</v>
      </c>
      <c r="F23" s="401">
        <v>1.26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7</v>
      </c>
      <c r="C24" s="419" t="s">
        <v>788</v>
      </c>
      <c r="D24" s="451" t="s">
        <v>257</v>
      </c>
      <c r="E24" s="400" t="s">
        <v>258</v>
      </c>
      <c r="F24" s="401">
        <v>148.628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318" customFormat="1" ht="13.5" customHeight="1">
      <c r="A25" s="400" t="s">
        <v>169</v>
      </c>
      <c r="B25" s="403">
        <v>7</v>
      </c>
      <c r="C25" s="419" t="s">
        <v>767</v>
      </c>
      <c r="D25" s="451" t="s">
        <v>259</v>
      </c>
      <c r="E25" s="400" t="s">
        <v>258</v>
      </c>
      <c r="F25" s="401">
        <v>148.628</v>
      </c>
      <c r="G25" s="402"/>
      <c r="H25" s="402">
        <f t="shared" si="0"/>
        <v>0</v>
      </c>
      <c r="I25" s="446"/>
      <c r="J25" s="448">
        <f>J26</f>
        <v>0</v>
      </c>
      <c r="K25" s="446"/>
      <c r="L25" s="448">
        <f>L26</f>
        <v>264.05280000000005</v>
      </c>
      <c r="M25" s="450">
        <f t="shared" si="3"/>
        <v>21</v>
      </c>
      <c r="O25" s="320" t="s">
        <v>154</v>
      </c>
    </row>
    <row r="26" spans="1:15" s="196" customFormat="1" ht="13.5" customHeight="1">
      <c r="A26" s="400" t="s">
        <v>174</v>
      </c>
      <c r="B26" s="403">
        <v>7</v>
      </c>
      <c r="C26" s="419" t="s">
        <v>768</v>
      </c>
      <c r="D26" s="451" t="s">
        <v>260</v>
      </c>
      <c r="E26" s="400" t="s">
        <v>247</v>
      </c>
      <c r="F26" s="401">
        <v>120.024</v>
      </c>
      <c r="G26" s="402"/>
      <c r="H26" s="402">
        <f t="shared" si="0"/>
        <v>0</v>
      </c>
      <c r="I26" s="449">
        <v>0</v>
      </c>
      <c r="J26" s="401">
        <f aca="true" t="shared" si="4" ref="J26:J37">F26*I26</f>
        <v>0</v>
      </c>
      <c r="K26" s="449">
        <v>2.2</v>
      </c>
      <c r="L26" s="401">
        <f aca="true" t="shared" si="5" ref="L26:L37">F26*K26</f>
        <v>264.05280000000005</v>
      </c>
      <c r="M26" s="450">
        <f t="shared" si="3"/>
        <v>21</v>
      </c>
      <c r="N26" s="334">
        <v>4</v>
      </c>
      <c r="O26" s="196" t="s">
        <v>161</v>
      </c>
    </row>
    <row r="27" spans="1:15" s="196" customFormat="1" ht="13.5" customHeight="1">
      <c r="A27" s="400" t="s">
        <v>186</v>
      </c>
      <c r="B27" s="408">
        <v>7</v>
      </c>
      <c r="C27" s="419" t="s">
        <v>769</v>
      </c>
      <c r="D27" s="451" t="s">
        <v>261</v>
      </c>
      <c r="E27" s="400" t="s">
        <v>247</v>
      </c>
      <c r="F27" s="401">
        <v>120.024</v>
      </c>
      <c r="G27" s="402"/>
      <c r="H27" s="402">
        <f t="shared" si="0"/>
        <v>0</v>
      </c>
      <c r="I27" s="449">
        <v>0</v>
      </c>
      <c r="J27" s="401">
        <f t="shared" si="4"/>
        <v>0</v>
      </c>
      <c r="K27" s="449">
        <v>0</v>
      </c>
      <c r="L27" s="401">
        <f t="shared" si="5"/>
        <v>0</v>
      </c>
      <c r="M27" s="450">
        <f t="shared" si="3"/>
        <v>21</v>
      </c>
      <c r="N27" s="334">
        <v>4</v>
      </c>
      <c r="O27" s="196" t="s">
        <v>161</v>
      </c>
    </row>
    <row r="28" spans="1:15" s="196" customFormat="1" ht="13.5" customHeight="1">
      <c r="A28" s="400" t="s">
        <v>159</v>
      </c>
      <c r="B28" s="408">
        <v>7</v>
      </c>
      <c r="C28" s="419" t="s">
        <v>770</v>
      </c>
      <c r="D28" s="451" t="s">
        <v>262</v>
      </c>
      <c r="E28" s="400" t="s">
        <v>258</v>
      </c>
      <c r="F28" s="401">
        <v>81.745</v>
      </c>
      <c r="G28" s="402"/>
      <c r="H28" s="402">
        <f t="shared" si="0"/>
        <v>0</v>
      </c>
      <c r="I28" s="449">
        <v>0.00634</v>
      </c>
      <c r="J28" s="401">
        <f t="shared" si="4"/>
        <v>0.5182633000000001</v>
      </c>
      <c r="K28" s="449">
        <v>0</v>
      </c>
      <c r="L28" s="401">
        <f t="shared" si="5"/>
        <v>0</v>
      </c>
      <c r="M28" s="450">
        <f t="shared" si="3"/>
        <v>21</v>
      </c>
      <c r="N28" s="334">
        <v>4</v>
      </c>
      <c r="O28" s="196" t="s">
        <v>161</v>
      </c>
    </row>
    <row r="29" spans="1:15" s="196" customFormat="1" ht="24.75" customHeight="1">
      <c r="A29" s="400" t="s">
        <v>165</v>
      </c>
      <c r="B29" s="408">
        <v>7</v>
      </c>
      <c r="C29" s="419" t="s">
        <v>771</v>
      </c>
      <c r="D29" s="451" t="s">
        <v>263</v>
      </c>
      <c r="E29" s="400" t="s">
        <v>258</v>
      </c>
      <c r="F29" s="401">
        <v>148.628</v>
      </c>
      <c r="G29" s="402"/>
      <c r="H29" s="402">
        <f t="shared" si="0"/>
        <v>0</v>
      </c>
      <c r="I29" s="449">
        <v>0</v>
      </c>
      <c r="J29" s="401">
        <f t="shared" si="4"/>
        <v>0</v>
      </c>
      <c r="K29" s="449">
        <v>0</v>
      </c>
      <c r="L29" s="401">
        <f t="shared" si="5"/>
        <v>0</v>
      </c>
      <c r="M29" s="450">
        <f t="shared" si="3"/>
        <v>21</v>
      </c>
      <c r="N29" s="334">
        <v>4</v>
      </c>
      <c r="O29" s="196" t="s">
        <v>161</v>
      </c>
    </row>
    <row r="30" spans="1:15" s="196" customFormat="1" ht="13.5" customHeight="1">
      <c r="A30" s="400" t="s">
        <v>171</v>
      </c>
      <c r="B30" s="408">
        <v>7</v>
      </c>
      <c r="C30" s="419" t="s">
        <v>772</v>
      </c>
      <c r="D30" s="451" t="s">
        <v>264</v>
      </c>
      <c r="E30" s="400" t="s">
        <v>258</v>
      </c>
      <c r="F30" s="401">
        <v>148.628</v>
      </c>
      <c r="G30" s="402"/>
      <c r="H30" s="402">
        <f t="shared" si="0"/>
        <v>0</v>
      </c>
      <c r="I30" s="449">
        <v>0</v>
      </c>
      <c r="J30" s="401">
        <f t="shared" si="4"/>
        <v>0</v>
      </c>
      <c r="K30" s="449">
        <v>0</v>
      </c>
      <c r="L30" s="401">
        <f t="shared" si="5"/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8">
        <v>7</v>
      </c>
      <c r="C31" s="419" t="s">
        <v>774</v>
      </c>
      <c r="D31" s="451" t="s">
        <v>265</v>
      </c>
      <c r="E31" s="400" t="s">
        <v>258</v>
      </c>
      <c r="F31" s="401">
        <v>9.681</v>
      </c>
      <c r="G31" s="402"/>
      <c r="H31" s="402">
        <f t="shared" si="0"/>
        <v>0</v>
      </c>
      <c r="I31" s="449">
        <v>0</v>
      </c>
      <c r="J31" s="401">
        <f t="shared" si="4"/>
        <v>0</v>
      </c>
      <c r="K31" s="449">
        <v>0</v>
      </c>
      <c r="L31" s="401">
        <f t="shared" si="5"/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13.5" customHeight="1">
      <c r="A32" s="400" t="s">
        <v>179</v>
      </c>
      <c r="B32" s="452">
        <v>7</v>
      </c>
      <c r="C32" s="419" t="s">
        <v>775</v>
      </c>
      <c r="D32" s="451" t="s">
        <v>267</v>
      </c>
      <c r="E32" s="400" t="s">
        <v>268</v>
      </c>
      <c r="F32" s="401">
        <v>13.553</v>
      </c>
      <c r="G32" s="402"/>
      <c r="H32" s="402">
        <f t="shared" si="0"/>
        <v>0</v>
      </c>
      <c r="I32" s="449">
        <v>0.024</v>
      </c>
      <c r="J32" s="401">
        <f t="shared" si="4"/>
        <v>0.325272</v>
      </c>
      <c r="K32" s="449">
        <v>0</v>
      </c>
      <c r="L32" s="401">
        <f t="shared" si="5"/>
        <v>0</v>
      </c>
      <c r="M32" s="450">
        <f t="shared" si="3"/>
        <v>21</v>
      </c>
      <c r="N32" s="336">
        <v>8</v>
      </c>
      <c r="O32" s="335" t="s">
        <v>161</v>
      </c>
    </row>
    <row r="33" spans="1:15" s="196" customFormat="1" ht="24.75" customHeight="1">
      <c r="A33" s="400" t="s">
        <v>182</v>
      </c>
      <c r="B33" s="452">
        <v>7</v>
      </c>
      <c r="C33" s="419" t="s">
        <v>800</v>
      </c>
      <c r="D33" s="451" t="s">
        <v>269</v>
      </c>
      <c r="E33" s="400" t="s">
        <v>258</v>
      </c>
      <c r="F33" s="401">
        <v>40.855</v>
      </c>
      <c r="G33" s="402"/>
      <c r="H33" s="402">
        <f t="shared" si="0"/>
        <v>0</v>
      </c>
      <c r="I33" s="449">
        <v>0.089</v>
      </c>
      <c r="J33" s="401">
        <f t="shared" si="4"/>
        <v>3.6360949999999996</v>
      </c>
      <c r="K33" s="449">
        <v>0</v>
      </c>
      <c r="L33" s="401">
        <f t="shared" si="5"/>
        <v>0</v>
      </c>
      <c r="M33" s="450">
        <f t="shared" si="3"/>
        <v>21</v>
      </c>
      <c r="N33" s="336">
        <v>8</v>
      </c>
      <c r="O33" s="335" t="s">
        <v>161</v>
      </c>
    </row>
    <row r="34" spans="1:15" s="196" customFormat="1" ht="13.5" customHeight="1">
      <c r="A34" s="400" t="s">
        <v>188</v>
      </c>
      <c r="B34" s="415">
        <v>7</v>
      </c>
      <c r="C34" s="419" t="s">
        <v>801</v>
      </c>
      <c r="D34" s="451" t="s">
        <v>270</v>
      </c>
      <c r="E34" s="400" t="s">
        <v>268</v>
      </c>
      <c r="F34" s="401">
        <v>78.237</v>
      </c>
      <c r="G34" s="402"/>
      <c r="H34" s="402">
        <f t="shared" si="0"/>
        <v>0</v>
      </c>
      <c r="I34" s="449">
        <v>0</v>
      </c>
      <c r="J34" s="401">
        <f t="shared" si="4"/>
        <v>0</v>
      </c>
      <c r="K34" s="449">
        <v>0</v>
      </c>
      <c r="L34" s="401">
        <f t="shared" si="5"/>
        <v>0</v>
      </c>
      <c r="M34" s="450">
        <f t="shared" si="3"/>
        <v>21</v>
      </c>
      <c r="N34" s="334">
        <v>4</v>
      </c>
      <c r="O34" s="196" t="s">
        <v>161</v>
      </c>
    </row>
    <row r="35" spans="1:15" s="196" customFormat="1" ht="24.75" customHeight="1">
      <c r="A35" s="400" t="s">
        <v>190</v>
      </c>
      <c r="B35" s="408">
        <v>7</v>
      </c>
      <c r="C35" s="419" t="s">
        <v>776</v>
      </c>
      <c r="D35" s="451" t="s">
        <v>354</v>
      </c>
      <c r="E35" s="400" t="s">
        <v>247</v>
      </c>
      <c r="F35" s="401">
        <v>4.2</v>
      </c>
      <c r="G35" s="402"/>
      <c r="H35" s="402">
        <f t="shared" si="0"/>
        <v>0</v>
      </c>
      <c r="I35" s="449">
        <v>0</v>
      </c>
      <c r="J35" s="401">
        <f t="shared" si="4"/>
        <v>0</v>
      </c>
      <c r="K35" s="449">
        <v>0</v>
      </c>
      <c r="L35" s="401">
        <f t="shared" si="5"/>
        <v>0</v>
      </c>
      <c r="M35" s="450">
        <f t="shared" si="3"/>
        <v>21</v>
      </c>
      <c r="N35" s="334">
        <v>4</v>
      </c>
      <c r="O35" s="196" t="s">
        <v>161</v>
      </c>
    </row>
    <row r="36" spans="1:15" s="196" customFormat="1" ht="13.5" customHeight="1">
      <c r="A36" s="400" t="s">
        <v>192</v>
      </c>
      <c r="B36" s="408">
        <v>7</v>
      </c>
      <c r="C36" s="419" t="s">
        <v>778</v>
      </c>
      <c r="D36" s="451" t="s">
        <v>355</v>
      </c>
      <c r="E36" s="400" t="s">
        <v>247</v>
      </c>
      <c r="F36" s="401">
        <v>4.2</v>
      </c>
      <c r="G36" s="402"/>
      <c r="H36" s="402">
        <f t="shared" si="0"/>
        <v>0</v>
      </c>
      <c r="I36" s="449">
        <v>0</v>
      </c>
      <c r="J36" s="401">
        <f t="shared" si="4"/>
        <v>0</v>
      </c>
      <c r="K36" s="449">
        <v>0</v>
      </c>
      <c r="L36" s="401">
        <f t="shared" si="5"/>
        <v>0</v>
      </c>
      <c r="M36" s="450">
        <f t="shared" si="3"/>
        <v>21</v>
      </c>
      <c r="N36" s="334">
        <v>4</v>
      </c>
      <c r="O36" s="196" t="s">
        <v>161</v>
      </c>
    </row>
    <row r="37" spans="1:15" s="196" customFormat="1" ht="13.5" customHeight="1">
      <c r="A37" s="400" t="s">
        <v>194</v>
      </c>
      <c r="B37" s="408">
        <v>7</v>
      </c>
      <c r="C37" s="419" t="s">
        <v>779</v>
      </c>
      <c r="D37" s="451" t="s">
        <v>356</v>
      </c>
      <c r="E37" s="400" t="s">
        <v>357</v>
      </c>
      <c r="F37" s="401">
        <v>0.105</v>
      </c>
      <c r="G37" s="402"/>
      <c r="H37" s="402">
        <f t="shared" si="0"/>
        <v>0</v>
      </c>
      <c r="I37" s="449">
        <v>0</v>
      </c>
      <c r="J37" s="401">
        <f t="shared" si="4"/>
        <v>0</v>
      </c>
      <c r="K37" s="449">
        <v>0</v>
      </c>
      <c r="L37" s="401">
        <f t="shared" si="5"/>
        <v>0</v>
      </c>
      <c r="M37" s="450">
        <f t="shared" si="3"/>
        <v>21</v>
      </c>
      <c r="N37" s="334">
        <v>4</v>
      </c>
      <c r="O37" s="196" t="s">
        <v>161</v>
      </c>
    </row>
    <row r="38" spans="1:15" s="318" customFormat="1" ht="13.5" customHeight="1">
      <c r="A38" s="446"/>
      <c r="B38" s="404"/>
      <c r="C38" s="446" t="s">
        <v>161</v>
      </c>
      <c r="D38" s="446" t="s">
        <v>271</v>
      </c>
      <c r="E38" s="446"/>
      <c r="F38" s="446"/>
      <c r="G38" s="446"/>
      <c r="H38" s="447">
        <f>SUM(H39:H40)</f>
        <v>0</v>
      </c>
      <c r="I38" s="446"/>
      <c r="J38" s="448">
        <f>J39</f>
        <v>0</v>
      </c>
      <c r="K38" s="446"/>
      <c r="L38" s="448">
        <f>L39</f>
        <v>0</v>
      </c>
      <c r="M38" s="450"/>
      <c r="O38" s="320" t="s">
        <v>154</v>
      </c>
    </row>
    <row r="39" spans="1:15" s="196" customFormat="1" ht="13.5" customHeight="1">
      <c r="A39" s="400" t="s">
        <v>198</v>
      </c>
      <c r="B39" s="403">
        <v>7</v>
      </c>
      <c r="C39" s="419" t="s">
        <v>719</v>
      </c>
      <c r="D39" s="451" t="s">
        <v>272</v>
      </c>
      <c r="E39" s="400" t="s">
        <v>256</v>
      </c>
      <c r="F39" s="401">
        <v>20.9</v>
      </c>
      <c r="G39" s="402"/>
      <c r="H39" s="402">
        <f>ROUND(F39*G39,2)</f>
        <v>0</v>
      </c>
      <c r="I39" s="449">
        <v>0</v>
      </c>
      <c r="J39" s="401">
        <f>F39*I39</f>
        <v>0</v>
      </c>
      <c r="K39" s="449">
        <v>0</v>
      </c>
      <c r="L39" s="401">
        <f>F39*K39</f>
        <v>0</v>
      </c>
      <c r="M39" s="450">
        <f>$M$16</f>
        <v>21</v>
      </c>
      <c r="N39" s="334">
        <v>4</v>
      </c>
      <c r="O39" s="196" t="s">
        <v>161</v>
      </c>
    </row>
    <row r="40" spans="1:15" s="318" customFormat="1" ht="13.5" customHeight="1">
      <c r="A40" s="400" t="s">
        <v>202</v>
      </c>
      <c r="B40" s="403">
        <v>7</v>
      </c>
      <c r="C40" s="419" t="s">
        <v>720</v>
      </c>
      <c r="D40" s="451" t="s">
        <v>273</v>
      </c>
      <c r="E40" s="400" t="s">
        <v>274</v>
      </c>
      <c r="F40" s="401">
        <v>1</v>
      </c>
      <c r="G40" s="402"/>
      <c r="H40" s="402">
        <f>ROUND(F40*G40,2)</f>
        <v>0</v>
      </c>
      <c r="I40" s="446"/>
      <c r="J40" s="448">
        <f>J41</f>
        <v>0</v>
      </c>
      <c r="K40" s="446"/>
      <c r="L40" s="448">
        <f>L41</f>
        <v>0</v>
      </c>
      <c r="M40" s="450">
        <f>$M$16</f>
        <v>21</v>
      </c>
      <c r="O40" s="315" t="s">
        <v>244</v>
      </c>
    </row>
    <row r="41" spans="1:15" s="318" customFormat="1" ht="13.5" customHeight="1">
      <c r="A41" s="446"/>
      <c r="B41" s="403"/>
      <c r="C41" s="446" t="s">
        <v>167</v>
      </c>
      <c r="D41" s="446" t="s">
        <v>413</v>
      </c>
      <c r="E41" s="446"/>
      <c r="F41" s="446"/>
      <c r="G41" s="446"/>
      <c r="H41" s="447">
        <f>H42</f>
        <v>0</v>
      </c>
      <c r="I41" s="446"/>
      <c r="J41" s="448">
        <f>SUM(J42:J44)</f>
        <v>0</v>
      </c>
      <c r="K41" s="446"/>
      <c r="L41" s="448">
        <f>SUM(L42:L44)</f>
        <v>0</v>
      </c>
      <c r="M41" s="450"/>
      <c r="O41" s="320" t="s">
        <v>154</v>
      </c>
    </row>
    <row r="42" spans="1:15" s="196" customFormat="1" ht="13.5" customHeight="1">
      <c r="A42" s="400" t="s">
        <v>204</v>
      </c>
      <c r="B42" s="403">
        <v>7</v>
      </c>
      <c r="C42" s="419" t="s">
        <v>802</v>
      </c>
      <c r="D42" s="451" t="s">
        <v>414</v>
      </c>
      <c r="E42" s="400" t="s">
        <v>256</v>
      </c>
      <c r="F42" s="401">
        <v>20.9</v>
      </c>
      <c r="G42" s="402"/>
      <c r="H42" s="402">
        <f>ROUND(F42*G42,2)</f>
        <v>0</v>
      </c>
      <c r="I42" s="449">
        <v>0</v>
      </c>
      <c r="J42" s="401">
        <f>F42*I42</f>
        <v>0</v>
      </c>
      <c r="K42" s="449">
        <v>0</v>
      </c>
      <c r="L42" s="401">
        <f>F42*K42</f>
        <v>0</v>
      </c>
      <c r="M42" s="450">
        <f>$M$16</f>
        <v>21</v>
      </c>
      <c r="N42" s="334">
        <v>64</v>
      </c>
      <c r="O42" s="196" t="s">
        <v>161</v>
      </c>
    </row>
    <row r="43" spans="1:15" s="196" customFormat="1" ht="13.5" customHeight="1">
      <c r="A43" s="446"/>
      <c r="B43" s="403"/>
      <c r="C43" s="446" t="s">
        <v>173</v>
      </c>
      <c r="D43" s="446" t="s">
        <v>275</v>
      </c>
      <c r="E43" s="446"/>
      <c r="F43" s="446"/>
      <c r="G43" s="446"/>
      <c r="H43" s="447">
        <f>SUM(H44:H47)</f>
        <v>0</v>
      </c>
      <c r="I43" s="449">
        <v>0</v>
      </c>
      <c r="J43" s="401">
        <f>F43*I43</f>
        <v>0</v>
      </c>
      <c r="K43" s="449">
        <v>0</v>
      </c>
      <c r="L43" s="401">
        <f>F43*K43</f>
        <v>0</v>
      </c>
      <c r="M43" s="450"/>
      <c r="N43" s="334">
        <v>64</v>
      </c>
      <c r="O43" s="196" t="s">
        <v>161</v>
      </c>
    </row>
    <row r="44" spans="1:15" s="196" customFormat="1" ht="13.5" customHeight="1">
      <c r="A44" s="400" t="s">
        <v>205</v>
      </c>
      <c r="B44" s="403">
        <v>7</v>
      </c>
      <c r="C44" s="419" t="s">
        <v>721</v>
      </c>
      <c r="D44" s="451" t="s">
        <v>276</v>
      </c>
      <c r="E44" s="400" t="s">
        <v>258</v>
      </c>
      <c r="F44" s="401">
        <v>0.14</v>
      </c>
      <c r="G44" s="402"/>
      <c r="H44" s="402">
        <f>ROUND(F44*G44,2)</f>
        <v>0</v>
      </c>
      <c r="I44" s="449">
        <v>0</v>
      </c>
      <c r="J44" s="401">
        <f>F44*I44</f>
        <v>0</v>
      </c>
      <c r="K44" s="449">
        <v>0</v>
      </c>
      <c r="L44" s="401">
        <f>F44*K44</f>
        <v>0</v>
      </c>
      <c r="M44" s="450">
        <f aca="true" t="shared" si="6" ref="M44:M53">$M$16</f>
        <v>21</v>
      </c>
      <c r="N44" s="334">
        <v>64</v>
      </c>
      <c r="O44" s="196" t="s">
        <v>161</v>
      </c>
    </row>
    <row r="45" spans="1:13" ht="13.5" customHeight="1">
      <c r="A45" s="400" t="s">
        <v>209</v>
      </c>
      <c r="B45" s="403">
        <v>7</v>
      </c>
      <c r="C45" s="419" t="s">
        <v>803</v>
      </c>
      <c r="D45" s="451" t="s">
        <v>415</v>
      </c>
      <c r="E45" s="400" t="s">
        <v>258</v>
      </c>
      <c r="F45" s="401">
        <v>37.929</v>
      </c>
      <c r="G45" s="402"/>
      <c r="H45" s="402">
        <f>ROUND(F45*G45,2)</f>
        <v>0</v>
      </c>
      <c r="I45" s="453"/>
      <c r="J45" s="453"/>
      <c r="K45" s="453"/>
      <c r="L45" s="453"/>
      <c r="M45" s="450">
        <f t="shared" si="6"/>
        <v>21</v>
      </c>
    </row>
    <row r="46" spans="1:13" ht="13.5" customHeight="1">
      <c r="A46" s="400" t="s">
        <v>211</v>
      </c>
      <c r="B46" s="403">
        <v>7</v>
      </c>
      <c r="C46" s="419" t="s">
        <v>789</v>
      </c>
      <c r="D46" s="451" t="s">
        <v>277</v>
      </c>
      <c r="E46" s="400" t="s">
        <v>258</v>
      </c>
      <c r="F46" s="401">
        <v>0.28</v>
      </c>
      <c r="G46" s="402"/>
      <c r="H46" s="402">
        <f>ROUND(F46*G46,2)</f>
        <v>0</v>
      </c>
      <c r="I46" s="453"/>
      <c r="J46" s="453"/>
      <c r="K46" s="453"/>
      <c r="L46" s="453"/>
      <c r="M46" s="450">
        <f t="shared" si="6"/>
        <v>21</v>
      </c>
    </row>
    <row r="47" spans="1:13" ht="13.5" customHeight="1">
      <c r="A47" s="400" t="s">
        <v>213</v>
      </c>
      <c r="B47" s="403">
        <v>7</v>
      </c>
      <c r="C47" s="419" t="s">
        <v>722</v>
      </c>
      <c r="D47" s="451" t="s">
        <v>278</v>
      </c>
      <c r="E47" s="400" t="s">
        <v>247</v>
      </c>
      <c r="F47" s="401">
        <v>36.09</v>
      </c>
      <c r="G47" s="402"/>
      <c r="H47" s="402">
        <f>ROUND(F47*G47,2)</f>
        <v>0</v>
      </c>
      <c r="I47" s="453"/>
      <c r="J47" s="453"/>
      <c r="K47" s="453"/>
      <c r="L47" s="453"/>
      <c r="M47" s="450">
        <f t="shared" si="6"/>
        <v>21</v>
      </c>
    </row>
    <row r="48" spans="1:13" ht="13.5" customHeight="1">
      <c r="A48" s="446"/>
      <c r="B48" s="403"/>
      <c r="C48" s="446" t="s">
        <v>177</v>
      </c>
      <c r="D48" s="446" t="s">
        <v>279</v>
      </c>
      <c r="E48" s="446"/>
      <c r="F48" s="446"/>
      <c r="G48" s="446"/>
      <c r="H48" s="447">
        <f>SUM(H49:H53)</f>
        <v>0</v>
      </c>
      <c r="I48" s="453"/>
      <c r="J48" s="453"/>
      <c r="K48" s="453"/>
      <c r="L48" s="453"/>
      <c r="M48" s="450">
        <f t="shared" si="6"/>
        <v>21</v>
      </c>
    </row>
    <row r="49" spans="1:13" ht="13.5" customHeight="1">
      <c r="A49" s="400" t="s">
        <v>287</v>
      </c>
      <c r="B49" s="403">
        <v>7</v>
      </c>
      <c r="C49" s="419" t="s">
        <v>723</v>
      </c>
      <c r="D49" s="451" t="s">
        <v>280</v>
      </c>
      <c r="E49" s="400" t="s">
        <v>247</v>
      </c>
      <c r="F49" s="401">
        <v>55.72</v>
      </c>
      <c r="G49" s="402"/>
      <c r="H49" s="402">
        <f>ROUND(F49*G49,2)</f>
        <v>0</v>
      </c>
      <c r="I49" s="453"/>
      <c r="J49" s="453"/>
      <c r="K49" s="453"/>
      <c r="L49" s="453"/>
      <c r="M49" s="450">
        <f t="shared" si="6"/>
        <v>21</v>
      </c>
    </row>
    <row r="50" spans="1:13" ht="24.75" customHeight="1">
      <c r="A50" s="400" t="s">
        <v>289</v>
      </c>
      <c r="B50" s="403">
        <v>7</v>
      </c>
      <c r="C50" s="419" t="s">
        <v>724</v>
      </c>
      <c r="D50" s="451" t="s">
        <v>281</v>
      </c>
      <c r="E50" s="400" t="s">
        <v>247</v>
      </c>
      <c r="F50" s="401">
        <v>55.72</v>
      </c>
      <c r="G50" s="402"/>
      <c r="H50" s="402">
        <f>ROUND(F50*G50,2)</f>
        <v>0</v>
      </c>
      <c r="I50" s="453"/>
      <c r="J50" s="453"/>
      <c r="K50" s="453"/>
      <c r="L50" s="453"/>
      <c r="M50" s="450">
        <f t="shared" si="6"/>
        <v>21</v>
      </c>
    </row>
    <row r="51" spans="1:13" ht="24.75" customHeight="1">
      <c r="A51" s="400" t="s">
        <v>292</v>
      </c>
      <c r="B51" s="403">
        <v>7</v>
      </c>
      <c r="C51" s="419" t="s">
        <v>725</v>
      </c>
      <c r="D51" s="451" t="s">
        <v>282</v>
      </c>
      <c r="E51" s="400" t="s">
        <v>247</v>
      </c>
      <c r="F51" s="401">
        <v>76.52</v>
      </c>
      <c r="G51" s="402"/>
      <c r="H51" s="402">
        <f>ROUND(F51*G51,2)</f>
        <v>0</v>
      </c>
      <c r="I51" s="453"/>
      <c r="J51" s="453"/>
      <c r="K51" s="453"/>
      <c r="L51" s="453"/>
      <c r="M51" s="450">
        <f t="shared" si="6"/>
        <v>21</v>
      </c>
    </row>
    <row r="52" spans="1:13" ht="24.75" customHeight="1">
      <c r="A52" s="400" t="s">
        <v>294</v>
      </c>
      <c r="B52" s="403">
        <v>7</v>
      </c>
      <c r="C52" s="419" t="s">
        <v>726</v>
      </c>
      <c r="D52" s="451" t="s">
        <v>283</v>
      </c>
      <c r="E52" s="400" t="s">
        <v>247</v>
      </c>
      <c r="F52" s="401">
        <v>76.52</v>
      </c>
      <c r="G52" s="402"/>
      <c r="H52" s="402">
        <f>ROUND(F52*G52,2)</f>
        <v>0</v>
      </c>
      <c r="I52" s="453"/>
      <c r="J52" s="453"/>
      <c r="K52" s="453"/>
      <c r="L52" s="453"/>
      <c r="M52" s="450">
        <f t="shared" si="6"/>
        <v>21</v>
      </c>
    </row>
    <row r="53" spans="1:13" ht="13.5" customHeight="1">
      <c r="A53" s="400" t="s">
        <v>296</v>
      </c>
      <c r="B53" s="403">
        <v>7</v>
      </c>
      <c r="C53" s="419" t="s">
        <v>727</v>
      </c>
      <c r="D53" s="451" t="s">
        <v>284</v>
      </c>
      <c r="E53" s="400" t="s">
        <v>256</v>
      </c>
      <c r="F53" s="401">
        <v>41.6</v>
      </c>
      <c r="G53" s="402"/>
      <c r="H53" s="402">
        <f>ROUND(F53*G53,2)</f>
        <v>0</v>
      </c>
      <c r="I53" s="453"/>
      <c r="J53" s="453"/>
      <c r="K53" s="453"/>
      <c r="L53" s="453"/>
      <c r="M53" s="450">
        <f t="shared" si="6"/>
        <v>21</v>
      </c>
    </row>
    <row r="54" spans="1:13" ht="13.5" customHeight="1">
      <c r="A54" s="446"/>
      <c r="B54" s="403"/>
      <c r="C54" s="446" t="s">
        <v>157</v>
      </c>
      <c r="D54" s="446" t="s">
        <v>285</v>
      </c>
      <c r="E54" s="446"/>
      <c r="F54" s="446"/>
      <c r="G54" s="446"/>
      <c r="H54" s="447">
        <f>SUM(H55:H64)</f>
        <v>0</v>
      </c>
      <c r="I54" s="453"/>
      <c r="J54" s="453"/>
      <c r="K54" s="453"/>
      <c r="L54" s="453"/>
      <c r="M54" s="450"/>
    </row>
    <row r="55" spans="1:13" ht="13.5" customHeight="1">
      <c r="A55" s="400" t="s">
        <v>298</v>
      </c>
      <c r="B55" s="403">
        <v>7</v>
      </c>
      <c r="C55" s="419" t="s">
        <v>728</v>
      </c>
      <c r="D55" s="451" t="s">
        <v>286</v>
      </c>
      <c r="E55" s="400" t="s">
        <v>256</v>
      </c>
      <c r="F55" s="401">
        <v>20.9</v>
      </c>
      <c r="G55" s="402"/>
      <c r="H55" s="402">
        <f aca="true" t="shared" si="7" ref="H55:H61">ROUND(F55*G55,2)</f>
        <v>0</v>
      </c>
      <c r="I55" s="453"/>
      <c r="J55" s="453"/>
      <c r="K55" s="453"/>
      <c r="L55" s="453"/>
      <c r="M55" s="450">
        <f aca="true" t="shared" si="8" ref="M55:M64">$M$16</f>
        <v>21</v>
      </c>
    </row>
    <row r="56" spans="1:13" ht="13.5" customHeight="1">
      <c r="A56" s="400" t="s">
        <v>302</v>
      </c>
      <c r="B56" s="403">
        <v>7</v>
      </c>
      <c r="C56" s="419" t="s">
        <v>792</v>
      </c>
      <c r="D56" s="451" t="s">
        <v>404</v>
      </c>
      <c r="E56" s="400" t="s">
        <v>317</v>
      </c>
      <c r="F56" s="401">
        <v>1</v>
      </c>
      <c r="G56" s="402"/>
      <c r="H56" s="402">
        <f t="shared" si="7"/>
        <v>0</v>
      </c>
      <c r="I56" s="453"/>
      <c r="J56" s="453"/>
      <c r="K56" s="453"/>
      <c r="L56" s="453"/>
      <c r="M56" s="450">
        <f t="shared" si="8"/>
        <v>21</v>
      </c>
    </row>
    <row r="57" spans="1:13" ht="24.75" customHeight="1">
      <c r="A57" s="400" t="s">
        <v>307</v>
      </c>
      <c r="B57" s="403">
        <v>7</v>
      </c>
      <c r="C57" s="419" t="s">
        <v>804</v>
      </c>
      <c r="D57" s="451" t="s">
        <v>416</v>
      </c>
      <c r="E57" s="400" t="s">
        <v>256</v>
      </c>
      <c r="F57" s="401">
        <v>1.4</v>
      </c>
      <c r="G57" s="402"/>
      <c r="H57" s="402">
        <f t="shared" si="7"/>
        <v>0</v>
      </c>
      <c r="I57" s="453"/>
      <c r="J57" s="453"/>
      <c r="K57" s="453"/>
      <c r="L57" s="453"/>
      <c r="M57" s="450">
        <f t="shared" si="8"/>
        <v>21</v>
      </c>
    </row>
    <row r="58" spans="1:13" ht="13.5" customHeight="1">
      <c r="A58" s="400" t="s">
        <v>310</v>
      </c>
      <c r="B58" s="403">
        <v>7</v>
      </c>
      <c r="C58" s="419" t="s">
        <v>805</v>
      </c>
      <c r="D58" s="451" t="s">
        <v>417</v>
      </c>
      <c r="E58" s="400" t="s">
        <v>256</v>
      </c>
      <c r="F58" s="401">
        <v>1.421</v>
      </c>
      <c r="G58" s="402"/>
      <c r="H58" s="402">
        <f t="shared" si="7"/>
        <v>0</v>
      </c>
      <c r="I58" s="453"/>
      <c r="J58" s="453"/>
      <c r="K58" s="453"/>
      <c r="L58" s="453"/>
      <c r="M58" s="450">
        <f t="shared" si="8"/>
        <v>21</v>
      </c>
    </row>
    <row r="59" spans="1:13" ht="24.75" customHeight="1">
      <c r="A59" s="400" t="s">
        <v>322</v>
      </c>
      <c r="B59" s="403">
        <v>7</v>
      </c>
      <c r="C59" s="419" t="s">
        <v>806</v>
      </c>
      <c r="D59" s="451" t="s">
        <v>418</v>
      </c>
      <c r="E59" s="400" t="s">
        <v>256</v>
      </c>
      <c r="F59" s="401">
        <v>20.9</v>
      </c>
      <c r="G59" s="402"/>
      <c r="H59" s="402">
        <f t="shared" si="7"/>
        <v>0</v>
      </c>
      <c r="I59" s="453"/>
      <c r="J59" s="453"/>
      <c r="K59" s="453"/>
      <c r="L59" s="453"/>
      <c r="M59" s="450">
        <f t="shared" si="8"/>
        <v>21</v>
      </c>
    </row>
    <row r="60" spans="1:13" ht="24.75" customHeight="1">
      <c r="A60" s="400" t="s">
        <v>324</v>
      </c>
      <c r="B60" s="403">
        <v>7</v>
      </c>
      <c r="C60" s="419" t="s">
        <v>807</v>
      </c>
      <c r="D60" s="451" t="s">
        <v>419</v>
      </c>
      <c r="E60" s="400" t="s">
        <v>256</v>
      </c>
      <c r="F60" s="401">
        <v>20.9</v>
      </c>
      <c r="G60" s="402"/>
      <c r="H60" s="402">
        <f t="shared" si="7"/>
        <v>0</v>
      </c>
      <c r="I60" s="453"/>
      <c r="J60" s="453"/>
      <c r="K60" s="453"/>
      <c r="L60" s="453"/>
      <c r="M60" s="450">
        <f t="shared" si="8"/>
        <v>21</v>
      </c>
    </row>
    <row r="61" spans="1:13" ht="24.75" customHeight="1">
      <c r="A61" s="400" t="s">
        <v>326</v>
      </c>
      <c r="B61" s="403">
        <v>7</v>
      </c>
      <c r="C61" s="419" t="s">
        <v>742</v>
      </c>
      <c r="D61" s="451" t="s">
        <v>337</v>
      </c>
      <c r="E61" s="400" t="s">
        <v>258</v>
      </c>
      <c r="F61" s="401">
        <v>0.703</v>
      </c>
      <c r="G61" s="402"/>
      <c r="H61" s="402">
        <f t="shared" si="7"/>
        <v>0</v>
      </c>
      <c r="I61" s="453"/>
      <c r="J61" s="453"/>
      <c r="K61" s="453"/>
      <c r="L61" s="453"/>
      <c r="M61" s="450">
        <f t="shared" si="8"/>
        <v>21</v>
      </c>
    </row>
    <row r="62" spans="1:13" ht="13.5" customHeight="1">
      <c r="A62" s="400" t="s">
        <v>328</v>
      </c>
      <c r="B62" s="403">
        <v>7</v>
      </c>
      <c r="C62" s="419" t="s">
        <v>744</v>
      </c>
      <c r="D62" s="451" t="s">
        <v>339</v>
      </c>
      <c r="E62" s="400" t="s">
        <v>247</v>
      </c>
      <c r="F62" s="401">
        <v>0.784</v>
      </c>
      <c r="G62" s="402"/>
      <c r="H62" s="402">
        <f>ROUND(F62*G62,2)</f>
        <v>0</v>
      </c>
      <c r="I62" s="453"/>
      <c r="J62" s="453"/>
      <c r="K62" s="453"/>
      <c r="L62" s="453"/>
      <c r="M62" s="450">
        <f t="shared" si="8"/>
        <v>21</v>
      </c>
    </row>
    <row r="63" spans="1:13" ht="13.5" customHeight="1">
      <c r="A63" s="400" t="s">
        <v>330</v>
      </c>
      <c r="B63" s="403">
        <v>7</v>
      </c>
      <c r="C63" s="419" t="s">
        <v>808</v>
      </c>
      <c r="D63" s="451" t="s">
        <v>420</v>
      </c>
      <c r="E63" s="400" t="s">
        <v>274</v>
      </c>
      <c r="F63" s="401">
        <v>1</v>
      </c>
      <c r="G63" s="402"/>
      <c r="H63" s="402">
        <f>ROUND(F63*G63,2)</f>
        <v>0</v>
      </c>
      <c r="I63" s="453"/>
      <c r="J63" s="453"/>
      <c r="K63" s="453"/>
      <c r="L63" s="453"/>
      <c r="M63" s="450">
        <f t="shared" si="8"/>
        <v>21</v>
      </c>
    </row>
    <row r="64" spans="1:13" ht="13.5" customHeight="1">
      <c r="A64" s="400" t="s">
        <v>332</v>
      </c>
      <c r="B64" s="403">
        <v>7</v>
      </c>
      <c r="C64" s="419" t="s">
        <v>809</v>
      </c>
      <c r="D64" s="451" t="s">
        <v>421</v>
      </c>
      <c r="E64" s="400" t="s">
        <v>342</v>
      </c>
      <c r="F64" s="401">
        <v>1</v>
      </c>
      <c r="G64" s="402"/>
      <c r="H64" s="402">
        <f>ROUND(F64*G64,2)</f>
        <v>0</v>
      </c>
      <c r="I64" s="453"/>
      <c r="J64" s="453"/>
      <c r="K64" s="453"/>
      <c r="L64" s="453"/>
      <c r="M64" s="450">
        <f t="shared" si="8"/>
        <v>21</v>
      </c>
    </row>
    <row r="65" spans="1:13" ht="13.5" customHeight="1">
      <c r="A65" s="446"/>
      <c r="B65" s="403"/>
      <c r="C65" s="446" t="s">
        <v>163</v>
      </c>
      <c r="D65" s="446" t="s">
        <v>291</v>
      </c>
      <c r="E65" s="446"/>
      <c r="F65" s="446"/>
      <c r="G65" s="446"/>
      <c r="H65" s="447">
        <f>SUM(H66:H69)</f>
        <v>0</v>
      </c>
      <c r="I65" s="453"/>
      <c r="J65" s="453"/>
      <c r="K65" s="453"/>
      <c r="L65" s="453"/>
      <c r="M65" s="450"/>
    </row>
    <row r="66" spans="1:13" ht="13.5" customHeight="1">
      <c r="A66" s="400" t="s">
        <v>334</v>
      </c>
      <c r="B66" s="403">
        <v>7</v>
      </c>
      <c r="C66" s="419" t="s">
        <v>750</v>
      </c>
      <c r="D66" s="451" t="s">
        <v>293</v>
      </c>
      <c r="E66" s="400" t="s">
        <v>256</v>
      </c>
      <c r="F66" s="401">
        <v>41.6</v>
      </c>
      <c r="G66" s="402"/>
      <c r="H66" s="402">
        <f>ROUND(F66*G66,2)</f>
        <v>0</v>
      </c>
      <c r="I66" s="453"/>
      <c r="J66" s="453"/>
      <c r="K66" s="453"/>
      <c r="L66" s="453"/>
      <c r="M66" s="450">
        <f>$M$16</f>
        <v>21</v>
      </c>
    </row>
    <row r="67" spans="1:13" ht="13.5" customHeight="1">
      <c r="A67" s="400" t="s">
        <v>336</v>
      </c>
      <c r="B67" s="403">
        <v>7</v>
      </c>
      <c r="C67" s="419" t="s">
        <v>751</v>
      </c>
      <c r="D67" s="451" t="s">
        <v>295</v>
      </c>
      <c r="E67" s="400" t="s">
        <v>268</v>
      </c>
      <c r="F67" s="401">
        <v>73.972</v>
      </c>
      <c r="G67" s="402"/>
      <c r="H67" s="402">
        <f>ROUND(F67*G67,2)</f>
        <v>0</v>
      </c>
      <c r="I67" s="453"/>
      <c r="J67" s="453"/>
      <c r="K67" s="453"/>
      <c r="L67" s="453"/>
      <c r="M67" s="450">
        <f>$M$16</f>
        <v>21</v>
      </c>
    </row>
    <row r="68" spans="1:13" ht="13.5" customHeight="1">
      <c r="A68" s="400" t="s">
        <v>338</v>
      </c>
      <c r="B68" s="403">
        <v>7</v>
      </c>
      <c r="C68" s="419" t="s">
        <v>752</v>
      </c>
      <c r="D68" s="451" t="s">
        <v>297</v>
      </c>
      <c r="E68" s="400" t="s">
        <v>268</v>
      </c>
      <c r="F68" s="401">
        <v>665.748</v>
      </c>
      <c r="G68" s="402"/>
      <c r="H68" s="402">
        <f>ROUND(F68*G68,2)</f>
        <v>0</v>
      </c>
      <c r="I68" s="453"/>
      <c r="J68" s="453"/>
      <c r="K68" s="453"/>
      <c r="L68" s="453"/>
      <c r="M68" s="450">
        <f>$M$16</f>
        <v>21</v>
      </c>
    </row>
    <row r="69" spans="1:13" ht="13.5" customHeight="1">
      <c r="A69" s="400" t="s">
        <v>340</v>
      </c>
      <c r="B69" s="403">
        <v>7</v>
      </c>
      <c r="C69" s="419" t="s">
        <v>753</v>
      </c>
      <c r="D69" s="451" t="s">
        <v>299</v>
      </c>
      <c r="E69" s="400" t="s">
        <v>268</v>
      </c>
      <c r="F69" s="401">
        <v>73.972</v>
      </c>
      <c r="G69" s="402"/>
      <c r="H69" s="402">
        <f>ROUND(F69*G69,2)</f>
        <v>0</v>
      </c>
      <c r="I69" s="453"/>
      <c r="J69" s="453"/>
      <c r="K69" s="453"/>
      <c r="L69" s="453"/>
      <c r="M69" s="450">
        <f>$M$16</f>
        <v>21</v>
      </c>
    </row>
    <row r="70" spans="1:13" ht="13.5" customHeight="1">
      <c r="A70" s="446"/>
      <c r="B70" s="403"/>
      <c r="C70" s="446" t="s">
        <v>300</v>
      </c>
      <c r="D70" s="446" t="s">
        <v>301</v>
      </c>
      <c r="E70" s="446"/>
      <c r="F70" s="446"/>
      <c r="G70" s="446"/>
      <c r="H70" s="447">
        <f>H71</f>
        <v>0</v>
      </c>
      <c r="I70" s="453"/>
      <c r="J70" s="453"/>
      <c r="K70" s="453"/>
      <c r="L70" s="453"/>
      <c r="M70" s="450"/>
    </row>
    <row r="71" spans="1:13" ht="13.5" customHeight="1">
      <c r="A71" s="400" t="s">
        <v>343</v>
      </c>
      <c r="B71" s="403">
        <v>7</v>
      </c>
      <c r="C71" s="419" t="s">
        <v>754</v>
      </c>
      <c r="D71" s="451" t="s">
        <v>303</v>
      </c>
      <c r="E71" s="400" t="s">
        <v>268</v>
      </c>
      <c r="F71" s="401">
        <v>99.346</v>
      </c>
      <c r="G71" s="402"/>
      <c r="H71" s="402">
        <f>ROUND(F71*G71,2)</f>
        <v>0</v>
      </c>
      <c r="I71" s="453"/>
      <c r="J71" s="453"/>
      <c r="K71" s="453"/>
      <c r="L71" s="453"/>
      <c r="M71" s="450">
        <f>$M$16</f>
        <v>21</v>
      </c>
    </row>
    <row r="72" spans="1:13" ht="13.5" customHeight="1">
      <c r="A72" s="446"/>
      <c r="B72" s="403"/>
      <c r="C72" s="446" t="s">
        <v>266</v>
      </c>
      <c r="D72" s="446" t="s">
        <v>304</v>
      </c>
      <c r="E72" s="446"/>
      <c r="F72" s="446"/>
      <c r="G72" s="446"/>
      <c r="H72" s="447">
        <f>H73</f>
        <v>0</v>
      </c>
      <c r="I72" s="453"/>
      <c r="J72" s="453"/>
      <c r="K72" s="453"/>
      <c r="L72" s="453"/>
      <c r="M72" s="450"/>
    </row>
    <row r="73" spans="1:13" ht="13.5" customHeight="1">
      <c r="A73" s="446"/>
      <c r="B73" s="403"/>
      <c r="C73" s="446" t="s">
        <v>305</v>
      </c>
      <c r="D73" s="446" t="s">
        <v>306</v>
      </c>
      <c r="E73" s="446"/>
      <c r="F73" s="446"/>
      <c r="G73" s="446"/>
      <c r="H73" s="447">
        <f>SUM(H74:H77)</f>
        <v>0</v>
      </c>
      <c r="I73" s="453"/>
      <c r="J73" s="453"/>
      <c r="K73" s="453"/>
      <c r="L73" s="453"/>
      <c r="M73" s="450"/>
    </row>
    <row r="74" spans="1:13" ht="13.5" customHeight="1">
      <c r="A74" s="400" t="s">
        <v>344</v>
      </c>
      <c r="B74" s="403">
        <v>7</v>
      </c>
      <c r="C74" s="419" t="s">
        <v>796</v>
      </c>
      <c r="D74" s="451" t="s">
        <v>409</v>
      </c>
      <c r="E74" s="400" t="s">
        <v>309</v>
      </c>
      <c r="F74" s="401">
        <v>1</v>
      </c>
      <c r="G74" s="402"/>
      <c r="H74" s="402">
        <f>ROUND(F74*G74,2)</f>
        <v>0</v>
      </c>
      <c r="I74" s="453"/>
      <c r="J74" s="453"/>
      <c r="K74" s="453"/>
      <c r="L74" s="453"/>
      <c r="M74" s="450">
        <f>$M$16</f>
        <v>21</v>
      </c>
    </row>
    <row r="75" spans="1:13" ht="13.5" customHeight="1">
      <c r="A75" s="400" t="s">
        <v>345</v>
      </c>
      <c r="B75" s="403">
        <v>7</v>
      </c>
      <c r="C75" s="419" t="s">
        <v>797</v>
      </c>
      <c r="D75" s="451" t="s">
        <v>410</v>
      </c>
      <c r="E75" s="400" t="s">
        <v>309</v>
      </c>
      <c r="F75" s="401">
        <v>1</v>
      </c>
      <c r="G75" s="402"/>
      <c r="H75" s="402">
        <f>ROUND(F75*G75,2)</f>
        <v>0</v>
      </c>
      <c r="I75" s="453"/>
      <c r="J75" s="453"/>
      <c r="K75" s="453"/>
      <c r="L75" s="453"/>
      <c r="M75" s="450">
        <f>$M$16</f>
        <v>21</v>
      </c>
    </row>
    <row r="76" spans="1:13" ht="13.5" customHeight="1">
      <c r="A76" s="400" t="s">
        <v>346</v>
      </c>
      <c r="B76" s="403">
        <v>7</v>
      </c>
      <c r="C76" s="419" t="s">
        <v>798</v>
      </c>
      <c r="D76" s="451" t="s">
        <v>1001</v>
      </c>
      <c r="E76" s="400" t="s">
        <v>256</v>
      </c>
      <c r="F76" s="401">
        <v>1.4</v>
      </c>
      <c r="G76" s="402"/>
      <c r="H76" s="402">
        <f>ROUND(F76*G76,2)</f>
        <v>0</v>
      </c>
      <c r="I76" s="453"/>
      <c r="J76" s="453"/>
      <c r="K76" s="453"/>
      <c r="L76" s="453"/>
      <c r="M76" s="450">
        <f>$M$16</f>
        <v>21</v>
      </c>
    </row>
    <row r="77" spans="1:13" ht="13.5" customHeight="1">
      <c r="A77" s="400" t="s">
        <v>347</v>
      </c>
      <c r="B77" s="403">
        <v>7</v>
      </c>
      <c r="C77" s="419" t="s">
        <v>799</v>
      </c>
      <c r="D77" s="451" t="s">
        <v>1002</v>
      </c>
      <c r="E77" s="400" t="s">
        <v>256</v>
      </c>
      <c r="F77" s="401">
        <v>20.9</v>
      </c>
      <c r="G77" s="402"/>
      <c r="H77" s="402">
        <f>ROUND(F77*G77,2)</f>
        <v>0</v>
      </c>
      <c r="I77" s="453"/>
      <c r="J77" s="453"/>
      <c r="K77" s="453"/>
      <c r="L77" s="453"/>
      <c r="M77" s="450">
        <f>$M$16</f>
        <v>21</v>
      </c>
    </row>
    <row r="78" spans="1:13" ht="13.5" customHeight="1">
      <c r="A78" s="399"/>
      <c r="B78" s="403"/>
      <c r="C78" s="399"/>
      <c r="D78" s="399" t="s">
        <v>124</v>
      </c>
      <c r="E78" s="399"/>
      <c r="F78" s="399"/>
      <c r="G78" s="399"/>
      <c r="H78" s="454">
        <f>H14+H72</f>
        <v>0</v>
      </c>
      <c r="I78" s="453"/>
      <c r="J78" s="453"/>
      <c r="K78" s="453"/>
      <c r="L78" s="453"/>
      <c r="M78" s="450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  <rowBreaks count="1" manualBreakCount="1">
    <brk id="71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V42" sqref="V42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422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100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423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>
        <v>152250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23095.65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>
        <v>810068.6299999999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>
        <v>0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>
        <v>0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>
        <v>0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>
        <v>0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>
        <v>0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>
        <f>SUM(E38:E43)</f>
        <v>962318.6299999999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>
        <f>SUM(R38:R43)+J45</f>
        <v>35598.380000000005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>
        <v>0</v>
      </c>
      <c r="F45" s="223"/>
      <c r="G45" s="267">
        <v>21</v>
      </c>
      <c r="H45" s="268" t="s">
        <v>193</v>
      </c>
      <c r="I45" s="270"/>
      <c r="J45" s="272">
        <v>12502.73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>
        <v>0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>
        <f>ROUND(E44+R44+E45+R45,2)</f>
        <v>997917.01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>
        <f>R47-O49</f>
        <v>0</v>
      </c>
      <c r="P48" s="217" t="s">
        <v>8</v>
      </c>
      <c r="Q48" s="215"/>
      <c r="R48" s="282">
        <f>ROUNDUP(O48*M48/100,2)</f>
        <v>0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>
        <v>997917.0099999999</v>
      </c>
      <c r="P49" s="217" t="s">
        <v>8</v>
      </c>
      <c r="Q49" s="215"/>
      <c r="R49" s="252">
        <f>ROUNDUP(O49*M49/100,2)</f>
        <v>189604.24000000002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>
        <f>R47+R48+R49</f>
        <v>1187521.25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">
        <v>2</v>
      </c>
      <c r="C2" s="300"/>
      <c r="D2" s="300"/>
      <c r="E2" s="300"/>
    </row>
    <row r="3" spans="1:5" ht="12" customHeight="1">
      <c r="A3" s="298" t="s">
        <v>225</v>
      </c>
      <c r="B3" s="299" t="s">
        <v>129</v>
      </c>
      <c r="C3" s="301"/>
      <c r="D3" s="299"/>
      <c r="E3" s="302"/>
    </row>
    <row r="4" spans="1:5" ht="12" customHeight="1">
      <c r="A4" s="298" t="s">
        <v>226</v>
      </c>
      <c r="B4" s="299" t="s">
        <v>422</v>
      </c>
      <c r="C4" s="301"/>
      <c r="D4" s="299"/>
      <c r="E4" s="302"/>
    </row>
    <row r="5" spans="1:5" ht="12" customHeight="1">
      <c r="A5" s="299" t="s">
        <v>227</v>
      </c>
      <c r="B5" s="299" t="s">
        <v>215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">
        <v>215</v>
      </c>
      <c r="C7" s="301"/>
      <c r="D7" s="299"/>
      <c r="E7" s="302"/>
    </row>
    <row r="8" spans="1:5" ht="12" customHeight="1">
      <c r="A8" s="299" t="s">
        <v>12</v>
      </c>
      <c r="B8" s="299" t="s">
        <v>215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">
        <v>155</v>
      </c>
      <c r="B14" s="315" t="s">
        <v>243</v>
      </c>
      <c r="C14" s="316">
        <v>962318.6300000001</v>
      </c>
      <c r="D14" s="317">
        <v>149.44977723</v>
      </c>
      <c r="E14" s="317">
        <v>134</v>
      </c>
    </row>
    <row r="15" spans="1:5" s="318" customFormat="1" ht="12.75" customHeight="1">
      <c r="A15" s="319" t="s">
        <v>154</v>
      </c>
      <c r="B15" s="320" t="s">
        <v>245</v>
      </c>
      <c r="C15" s="321">
        <v>378400.10000000003</v>
      </c>
      <c r="D15" s="322">
        <v>0.2198</v>
      </c>
      <c r="E15" s="322">
        <v>134</v>
      </c>
    </row>
    <row r="16" spans="1:5" s="318" customFormat="1" ht="12.75" customHeight="1">
      <c r="A16" s="319" t="s">
        <v>161</v>
      </c>
      <c r="B16" s="320" t="s">
        <v>271</v>
      </c>
      <c r="C16" s="321">
        <v>8972.73</v>
      </c>
      <c r="D16" s="322">
        <v>1.7860342999999999</v>
      </c>
      <c r="E16" s="322">
        <v>0</v>
      </c>
    </row>
    <row r="17" spans="1:5" s="318" customFormat="1" ht="12.75" customHeight="1">
      <c r="A17" s="319" t="s">
        <v>167</v>
      </c>
      <c r="B17" s="320" t="s">
        <v>413</v>
      </c>
      <c r="C17" s="321">
        <v>196615.14000000004</v>
      </c>
      <c r="D17" s="322">
        <v>99.61363228999998</v>
      </c>
      <c r="E17" s="322">
        <v>0</v>
      </c>
    </row>
    <row r="18" spans="1:5" s="318" customFormat="1" ht="12.75" customHeight="1">
      <c r="A18" s="319" t="s">
        <v>173</v>
      </c>
      <c r="B18" s="320" t="s">
        <v>275</v>
      </c>
      <c r="C18" s="321">
        <v>88375.16</v>
      </c>
      <c r="D18" s="322">
        <v>47.107510639999994</v>
      </c>
      <c r="E18" s="322">
        <v>0</v>
      </c>
    </row>
    <row r="19" spans="1:5" s="318" customFormat="1" ht="12.75" customHeight="1">
      <c r="A19" s="319" t="s">
        <v>157</v>
      </c>
      <c r="B19" s="320" t="s">
        <v>285</v>
      </c>
      <c r="C19" s="321">
        <v>155980</v>
      </c>
      <c r="D19" s="322">
        <v>0.7228</v>
      </c>
      <c r="E19" s="322">
        <v>0</v>
      </c>
    </row>
    <row r="20" spans="1:5" s="318" customFormat="1" ht="12.75" customHeight="1">
      <c r="A20" s="319" t="s">
        <v>163</v>
      </c>
      <c r="B20" s="320" t="s">
        <v>291</v>
      </c>
      <c r="C20" s="321">
        <v>110362.4</v>
      </c>
      <c r="D20" s="322">
        <v>0</v>
      </c>
      <c r="E20" s="322">
        <v>0</v>
      </c>
    </row>
    <row r="21" spans="1:5" s="318" customFormat="1" ht="12.75" customHeight="1">
      <c r="A21" s="319" t="s">
        <v>300</v>
      </c>
      <c r="B21" s="320" t="s">
        <v>301</v>
      </c>
      <c r="C21" s="321">
        <v>23613.1</v>
      </c>
      <c r="D21" s="322">
        <v>0</v>
      </c>
      <c r="E21" s="322">
        <v>0</v>
      </c>
    </row>
    <row r="22" spans="2:5" s="323" customFormat="1" ht="12.75" customHeight="1">
      <c r="B22" s="324" t="s">
        <v>124</v>
      </c>
      <c r="C22" s="325">
        <v>962318.6300000001</v>
      </c>
      <c r="D22" s="326">
        <v>149.44977723</v>
      </c>
      <c r="E22" s="326">
        <v>134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D36" sqref="A36:IV36"/>
      <selection pane="bottomLeft" activeCell="D36" sqref="A36:IV36"/>
    </sheetView>
  </sheetViews>
  <sheetFormatPr defaultColWidth="9.140625" defaultRowHeight="11.25" customHeight="1"/>
  <cols>
    <col min="1" max="1" width="9.71093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8.75" customHeight="1">
      <c r="A2" s="340" t="s">
        <v>72</v>
      </c>
      <c r="B2" s="341" t="s">
        <v>990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">
        <v>129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">
        <v>422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">
        <v>215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H15+H26+H31+H36+H42+H45+H49</f>
        <v>0</v>
      </c>
      <c r="I14" s="446"/>
      <c r="J14" s="448" t="e">
        <f>J15+J24+#REF!+J31+#REF!+#REF!+J34</f>
        <v>#REF!</v>
      </c>
      <c r="K14" s="446"/>
      <c r="L14" s="448" t="e">
        <f>L15+L24+#REF!+L31+#REF!+#REF!+L34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SUM(H16:H25)</f>
        <v>0</v>
      </c>
      <c r="I15" s="446"/>
      <c r="J15" s="448">
        <f>SUM(J16:J23)</f>
        <v>0.2198</v>
      </c>
      <c r="K15" s="446"/>
      <c r="L15" s="448">
        <f>SUM(L16:L23)</f>
        <v>100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8</v>
      </c>
      <c r="C16" s="419" t="s">
        <v>810</v>
      </c>
      <c r="D16" s="451" t="s">
        <v>424</v>
      </c>
      <c r="E16" s="400" t="s">
        <v>256</v>
      </c>
      <c r="F16" s="401">
        <v>10</v>
      </c>
      <c r="G16" s="402"/>
      <c r="H16" s="402">
        <f aca="true" t="shared" si="0" ref="H16:H25">ROUND(F16*G16,2)</f>
        <v>0</v>
      </c>
      <c r="I16" s="449">
        <v>0.02102</v>
      </c>
      <c r="J16" s="401">
        <f aca="true" t="shared" si="1" ref="J16:J23">F16*I16</f>
        <v>0.2102</v>
      </c>
      <c r="K16" s="449">
        <v>0</v>
      </c>
      <c r="L16" s="401">
        <f aca="true" t="shared" si="2" ref="L16:L23">F16*K16</f>
        <v>0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8</v>
      </c>
      <c r="C17" s="419" t="s">
        <v>761</v>
      </c>
      <c r="D17" s="451" t="s">
        <v>251</v>
      </c>
      <c r="E17" s="400" t="s">
        <v>252</v>
      </c>
      <c r="F17" s="401">
        <v>240</v>
      </c>
      <c r="G17" s="402"/>
      <c r="H17" s="402">
        <f t="shared" si="0"/>
        <v>0</v>
      </c>
      <c r="I17" s="449">
        <v>4E-05</v>
      </c>
      <c r="J17" s="401">
        <f t="shared" si="1"/>
        <v>0.009600000000000001</v>
      </c>
      <c r="K17" s="449">
        <v>0</v>
      </c>
      <c r="L17" s="401">
        <f t="shared" si="2"/>
        <v>0</v>
      </c>
      <c r="M17" s="450">
        <f aca="true" t="shared" si="3" ref="M17:M25">$M$16</f>
        <v>21</v>
      </c>
      <c r="N17" s="334">
        <v>4</v>
      </c>
      <c r="O17" s="196" t="s">
        <v>161</v>
      </c>
    </row>
    <row r="18" spans="1:15" s="196" customFormat="1" ht="24.75" customHeight="1">
      <c r="A18" s="400" t="s">
        <v>167</v>
      </c>
      <c r="B18" s="408">
        <v>8</v>
      </c>
      <c r="C18" s="419" t="s">
        <v>762</v>
      </c>
      <c r="D18" s="451" t="s">
        <v>425</v>
      </c>
      <c r="E18" s="400" t="s">
        <v>426</v>
      </c>
      <c r="F18" s="401">
        <v>10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2.4</v>
      </c>
      <c r="L18" s="401">
        <f t="shared" si="2"/>
        <v>24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13.5" customHeight="1">
      <c r="A19" s="400" t="s">
        <v>173</v>
      </c>
      <c r="B19" s="408">
        <v>8</v>
      </c>
      <c r="C19" s="419" t="s">
        <v>811</v>
      </c>
      <c r="D19" s="451" t="s">
        <v>427</v>
      </c>
      <c r="E19" s="400" t="s">
        <v>258</v>
      </c>
      <c r="F19" s="401">
        <v>40</v>
      </c>
      <c r="G19" s="402"/>
      <c r="H19" s="402">
        <f t="shared" si="0"/>
        <v>0</v>
      </c>
      <c r="I19" s="449">
        <v>0</v>
      </c>
      <c r="J19" s="401">
        <f t="shared" si="1"/>
        <v>0</v>
      </c>
      <c r="K19" s="449">
        <v>1.9</v>
      </c>
      <c r="L19" s="401">
        <f t="shared" si="2"/>
        <v>76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8</v>
      </c>
      <c r="C20" s="419" t="s">
        <v>812</v>
      </c>
      <c r="D20" s="451" t="s">
        <v>428</v>
      </c>
      <c r="E20" s="400" t="s">
        <v>258</v>
      </c>
      <c r="F20" s="401">
        <v>20</v>
      </c>
      <c r="G20" s="402"/>
      <c r="H20" s="402">
        <f t="shared" si="0"/>
        <v>0</v>
      </c>
      <c r="I20" s="449">
        <v>0</v>
      </c>
      <c r="J20" s="401">
        <f t="shared" si="1"/>
        <v>0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8</v>
      </c>
      <c r="C21" s="419" t="s">
        <v>813</v>
      </c>
      <c r="D21" s="451" t="s">
        <v>429</v>
      </c>
      <c r="E21" s="400" t="s">
        <v>258</v>
      </c>
      <c r="F21" s="401">
        <v>117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8</v>
      </c>
      <c r="C22" s="419" t="s">
        <v>814</v>
      </c>
      <c r="D22" s="451" t="s">
        <v>430</v>
      </c>
      <c r="E22" s="400" t="s">
        <v>258</v>
      </c>
      <c r="F22" s="401">
        <v>117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24.75" customHeight="1">
      <c r="A23" s="400" t="s">
        <v>157</v>
      </c>
      <c r="B23" s="408">
        <v>8</v>
      </c>
      <c r="C23" s="419" t="s">
        <v>771</v>
      </c>
      <c r="D23" s="451" t="s">
        <v>431</v>
      </c>
      <c r="E23" s="400" t="s">
        <v>258</v>
      </c>
      <c r="F23" s="401">
        <v>40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318" customFormat="1" ht="13.5" customHeight="1">
      <c r="A24" s="400" t="s">
        <v>163</v>
      </c>
      <c r="B24" s="408">
        <v>8</v>
      </c>
      <c r="C24" s="419" t="s">
        <v>772</v>
      </c>
      <c r="D24" s="451" t="s">
        <v>264</v>
      </c>
      <c r="E24" s="400" t="s">
        <v>258</v>
      </c>
      <c r="F24" s="401">
        <v>40</v>
      </c>
      <c r="G24" s="402"/>
      <c r="H24" s="402">
        <f t="shared" si="0"/>
        <v>0</v>
      </c>
      <c r="I24" s="446"/>
      <c r="J24" s="448">
        <f>SUM(J25:J27)</f>
        <v>0.7888349000000001</v>
      </c>
      <c r="K24" s="446"/>
      <c r="L24" s="448">
        <f>SUM(L25:L27)</f>
        <v>0</v>
      </c>
      <c r="M24" s="450">
        <f t="shared" si="3"/>
        <v>21</v>
      </c>
      <c r="O24" s="320" t="s">
        <v>154</v>
      </c>
    </row>
    <row r="25" spans="1:15" s="196" customFormat="1" ht="13.5" customHeight="1">
      <c r="A25" s="400" t="s">
        <v>169</v>
      </c>
      <c r="B25" s="408">
        <v>8</v>
      </c>
      <c r="C25" s="419" t="s">
        <v>774</v>
      </c>
      <c r="D25" s="451" t="s">
        <v>265</v>
      </c>
      <c r="E25" s="400" t="s">
        <v>258</v>
      </c>
      <c r="F25" s="401">
        <v>77</v>
      </c>
      <c r="G25" s="402"/>
      <c r="H25" s="402">
        <f t="shared" si="0"/>
        <v>0</v>
      </c>
      <c r="I25" s="449">
        <v>0.00115</v>
      </c>
      <c r="J25" s="401">
        <f aca="true" t="shared" si="4" ref="J25:J30">F25*I25</f>
        <v>0.08855</v>
      </c>
      <c r="K25" s="449">
        <v>0</v>
      </c>
      <c r="L25" s="401">
        <f aca="true" t="shared" si="5" ref="L25:L30">F25*K25</f>
        <v>0</v>
      </c>
      <c r="M25" s="450">
        <f t="shared" si="3"/>
        <v>21</v>
      </c>
      <c r="N25" s="334">
        <v>4</v>
      </c>
      <c r="O25" s="196" t="s">
        <v>161</v>
      </c>
    </row>
    <row r="26" spans="1:15" s="196" customFormat="1" ht="13.5" customHeight="1">
      <c r="A26" s="446"/>
      <c r="B26" s="408"/>
      <c r="C26" s="446" t="s">
        <v>161</v>
      </c>
      <c r="D26" s="446" t="s">
        <v>271</v>
      </c>
      <c r="E26" s="446"/>
      <c r="F26" s="446"/>
      <c r="G26" s="446"/>
      <c r="H26" s="447">
        <f>SUM(H27:H30)</f>
        <v>0</v>
      </c>
      <c r="I26" s="449">
        <v>0</v>
      </c>
      <c r="J26" s="401">
        <f t="shared" si="4"/>
        <v>0</v>
      </c>
      <c r="K26" s="449">
        <v>0</v>
      </c>
      <c r="L26" s="401">
        <f t="shared" si="5"/>
        <v>0</v>
      </c>
      <c r="M26" s="450"/>
      <c r="N26" s="334">
        <v>4</v>
      </c>
      <c r="O26" s="196" t="s">
        <v>161</v>
      </c>
    </row>
    <row r="27" spans="1:15" s="196" customFormat="1" ht="13.5" customHeight="1">
      <c r="A27" s="400" t="s">
        <v>174</v>
      </c>
      <c r="B27" s="408">
        <v>8</v>
      </c>
      <c r="C27" s="419" t="s">
        <v>815</v>
      </c>
      <c r="D27" s="451" t="s">
        <v>432</v>
      </c>
      <c r="E27" s="400" t="s">
        <v>258</v>
      </c>
      <c r="F27" s="401">
        <v>0.665</v>
      </c>
      <c r="G27" s="402"/>
      <c r="H27" s="402">
        <f>ROUND(F27*G27,2)</f>
        <v>0</v>
      </c>
      <c r="I27" s="449">
        <v>1.05306</v>
      </c>
      <c r="J27" s="401">
        <f t="shared" si="4"/>
        <v>0.7002849000000001</v>
      </c>
      <c r="K27" s="449">
        <v>0</v>
      </c>
      <c r="L27" s="401">
        <f t="shared" si="5"/>
        <v>0</v>
      </c>
      <c r="M27" s="450">
        <f>$M$16</f>
        <v>21</v>
      </c>
      <c r="N27" s="334">
        <v>4</v>
      </c>
      <c r="O27" s="196" t="s">
        <v>161</v>
      </c>
    </row>
    <row r="28" spans="1:15" s="196" customFormat="1" ht="13.5" customHeight="1">
      <c r="A28" s="400" t="s">
        <v>186</v>
      </c>
      <c r="B28" s="408">
        <v>8</v>
      </c>
      <c r="C28" s="419" t="s">
        <v>816</v>
      </c>
      <c r="D28" s="451" t="s">
        <v>433</v>
      </c>
      <c r="E28" s="400" t="s">
        <v>247</v>
      </c>
      <c r="F28" s="401">
        <v>1.08</v>
      </c>
      <c r="G28" s="402"/>
      <c r="H28" s="402">
        <f>ROUND(F28*G28,2)</f>
        <v>0</v>
      </c>
      <c r="I28" s="449">
        <v>2.51803</v>
      </c>
      <c r="J28" s="401">
        <f t="shared" si="4"/>
        <v>2.7194724000000003</v>
      </c>
      <c r="K28" s="449">
        <v>0</v>
      </c>
      <c r="L28" s="401">
        <f t="shared" si="5"/>
        <v>0</v>
      </c>
      <c r="M28" s="450">
        <f>$M$16</f>
        <v>21</v>
      </c>
      <c r="N28" s="334">
        <v>4</v>
      </c>
      <c r="O28" s="196" t="s">
        <v>161</v>
      </c>
    </row>
    <row r="29" spans="1:15" s="196" customFormat="1" ht="13.5" customHeight="1">
      <c r="A29" s="400" t="s">
        <v>159</v>
      </c>
      <c r="B29" s="408">
        <v>8</v>
      </c>
      <c r="C29" s="419" t="s">
        <v>817</v>
      </c>
      <c r="D29" s="451" t="s">
        <v>434</v>
      </c>
      <c r="E29" s="400" t="s">
        <v>247</v>
      </c>
      <c r="F29" s="401">
        <v>1.08</v>
      </c>
      <c r="G29" s="402"/>
      <c r="H29" s="402">
        <f>ROUND(F29*G29,2)</f>
        <v>0</v>
      </c>
      <c r="I29" s="449">
        <v>0</v>
      </c>
      <c r="J29" s="401">
        <f t="shared" si="4"/>
        <v>0</v>
      </c>
      <c r="K29" s="449">
        <v>0</v>
      </c>
      <c r="L29" s="401">
        <f t="shared" si="5"/>
        <v>0</v>
      </c>
      <c r="M29" s="450">
        <f>$M$16</f>
        <v>21</v>
      </c>
      <c r="N29" s="334">
        <v>4</v>
      </c>
      <c r="O29" s="196" t="s">
        <v>161</v>
      </c>
    </row>
    <row r="30" spans="1:15" s="196" customFormat="1" ht="13.5" customHeight="1">
      <c r="A30" s="400" t="s">
        <v>165</v>
      </c>
      <c r="B30" s="408">
        <v>8</v>
      </c>
      <c r="C30" s="419" t="s">
        <v>818</v>
      </c>
      <c r="D30" s="451" t="s">
        <v>435</v>
      </c>
      <c r="E30" s="400" t="s">
        <v>268</v>
      </c>
      <c r="F30" s="401">
        <v>0.27</v>
      </c>
      <c r="G30" s="402"/>
      <c r="H30" s="402">
        <f>ROUND(F30*G30,2)</f>
        <v>0</v>
      </c>
      <c r="I30" s="449">
        <v>1.11955</v>
      </c>
      <c r="J30" s="401">
        <f t="shared" si="4"/>
        <v>0.3022785</v>
      </c>
      <c r="K30" s="449">
        <v>0</v>
      </c>
      <c r="L30" s="401">
        <f t="shared" si="5"/>
        <v>0</v>
      </c>
      <c r="M30" s="450">
        <f>$M$16</f>
        <v>21</v>
      </c>
      <c r="N30" s="334">
        <v>4</v>
      </c>
      <c r="O30" s="196" t="s">
        <v>161</v>
      </c>
    </row>
    <row r="31" spans="1:15" s="318" customFormat="1" ht="13.5" customHeight="1">
      <c r="A31" s="446"/>
      <c r="B31" s="404"/>
      <c r="C31" s="446" t="s">
        <v>167</v>
      </c>
      <c r="D31" s="446" t="s">
        <v>413</v>
      </c>
      <c r="E31" s="446"/>
      <c r="F31" s="446"/>
      <c r="G31" s="446"/>
      <c r="H31" s="447">
        <f>SUM(H32:H35)</f>
        <v>0</v>
      </c>
      <c r="I31" s="446"/>
      <c r="J31" s="448">
        <f>SUM(J32:J32)</f>
        <v>82.70105600000001</v>
      </c>
      <c r="K31" s="446"/>
      <c r="L31" s="448">
        <f>SUM(L32:L32)</f>
        <v>0</v>
      </c>
      <c r="M31" s="450"/>
      <c r="O31" s="320" t="s">
        <v>154</v>
      </c>
    </row>
    <row r="32" spans="1:15" s="196" customFormat="1" ht="24.75" customHeight="1">
      <c r="A32" s="400" t="s">
        <v>171</v>
      </c>
      <c r="B32" s="408">
        <v>8</v>
      </c>
      <c r="C32" s="419" t="s">
        <v>819</v>
      </c>
      <c r="D32" s="451" t="s">
        <v>436</v>
      </c>
      <c r="E32" s="400" t="s">
        <v>258</v>
      </c>
      <c r="F32" s="401">
        <v>39.232</v>
      </c>
      <c r="G32" s="402"/>
      <c r="H32" s="402">
        <f>ROUND(F32*G32,2)</f>
        <v>0</v>
      </c>
      <c r="I32" s="449">
        <v>2.108</v>
      </c>
      <c r="J32" s="401">
        <f>F32*I32</f>
        <v>82.70105600000001</v>
      </c>
      <c r="K32" s="449">
        <v>0</v>
      </c>
      <c r="L32" s="401">
        <f>F32*K32</f>
        <v>0</v>
      </c>
      <c r="M32" s="450">
        <f>$M$16</f>
        <v>21</v>
      </c>
      <c r="N32" s="334">
        <v>4</v>
      </c>
      <c r="O32" s="196" t="s">
        <v>161</v>
      </c>
    </row>
    <row r="33" spans="1:15" s="196" customFormat="1" ht="24.75" customHeight="1">
      <c r="A33" s="400" t="s">
        <v>175</v>
      </c>
      <c r="B33" s="408">
        <v>8</v>
      </c>
      <c r="C33" s="419" t="s">
        <v>820</v>
      </c>
      <c r="D33" s="451" t="s">
        <v>437</v>
      </c>
      <c r="E33" s="400" t="s">
        <v>247</v>
      </c>
      <c r="F33" s="401">
        <v>69.034</v>
      </c>
      <c r="G33" s="402"/>
      <c r="H33" s="402">
        <f>ROUND(F33*G33,2)</f>
        <v>0</v>
      </c>
      <c r="I33" s="449">
        <v>0.7228</v>
      </c>
      <c r="J33" s="401">
        <f>F33*I33</f>
        <v>49.897775200000005</v>
      </c>
      <c r="K33" s="449">
        <v>0</v>
      </c>
      <c r="L33" s="401">
        <f>F33*K33</f>
        <v>0</v>
      </c>
      <c r="M33" s="450">
        <f>$M$16</f>
        <v>21</v>
      </c>
      <c r="N33" s="334">
        <v>4</v>
      </c>
      <c r="O33" s="196" t="s">
        <v>161</v>
      </c>
    </row>
    <row r="34" spans="1:15" s="318" customFormat="1" ht="24.75" customHeight="1">
      <c r="A34" s="400" t="s">
        <v>179</v>
      </c>
      <c r="B34" s="408">
        <v>8</v>
      </c>
      <c r="C34" s="419" t="s">
        <v>821</v>
      </c>
      <c r="D34" s="451" t="s">
        <v>438</v>
      </c>
      <c r="E34" s="400" t="s">
        <v>247</v>
      </c>
      <c r="F34" s="401">
        <v>69.034</v>
      </c>
      <c r="G34" s="402"/>
      <c r="H34" s="402">
        <f>ROUND(F34*G34,2)</f>
        <v>0</v>
      </c>
      <c r="I34" s="446"/>
      <c r="J34" s="448">
        <f>J35</f>
        <v>0</v>
      </c>
      <c r="K34" s="446"/>
      <c r="L34" s="448">
        <f>L35</f>
        <v>0</v>
      </c>
      <c r="M34" s="450">
        <f>$M$16</f>
        <v>21</v>
      </c>
      <c r="O34" s="320" t="s">
        <v>154</v>
      </c>
    </row>
    <row r="35" spans="1:15" s="196" customFormat="1" ht="24.75" customHeight="1">
      <c r="A35" s="400" t="s">
        <v>182</v>
      </c>
      <c r="B35" s="408">
        <v>8</v>
      </c>
      <c r="C35" s="419" t="s">
        <v>822</v>
      </c>
      <c r="D35" s="451" t="s">
        <v>439</v>
      </c>
      <c r="E35" s="400" t="s">
        <v>268</v>
      </c>
      <c r="F35" s="401">
        <v>0.447</v>
      </c>
      <c r="G35" s="402"/>
      <c r="H35" s="402">
        <f>ROUND(F35*G35,2)</f>
        <v>0</v>
      </c>
      <c r="I35" s="449">
        <v>0</v>
      </c>
      <c r="J35" s="401">
        <f>F35*I35</f>
        <v>0</v>
      </c>
      <c r="K35" s="449">
        <v>0</v>
      </c>
      <c r="L35" s="401">
        <f>F35*K35</f>
        <v>0</v>
      </c>
      <c r="M35" s="450">
        <f>$M$16</f>
        <v>21</v>
      </c>
      <c r="N35" s="334">
        <v>4</v>
      </c>
      <c r="O35" s="196" t="s">
        <v>161</v>
      </c>
    </row>
    <row r="36" spans="1:13" s="323" customFormat="1" ht="13.5" customHeight="1">
      <c r="A36" s="446"/>
      <c r="B36" s="408"/>
      <c r="C36" s="446" t="s">
        <v>173</v>
      </c>
      <c r="D36" s="446" t="s">
        <v>275</v>
      </c>
      <c r="E36" s="446"/>
      <c r="F36" s="446"/>
      <c r="G36" s="446"/>
      <c r="H36" s="447">
        <f>SUM(H37:H41)</f>
        <v>0</v>
      </c>
      <c r="I36" s="399"/>
      <c r="J36" s="455" t="e">
        <f>J14</f>
        <v>#REF!</v>
      </c>
      <c r="K36" s="399"/>
      <c r="L36" s="455" t="e">
        <f>L14</f>
        <v>#REF!</v>
      </c>
      <c r="M36" s="450"/>
    </row>
    <row r="37" spans="1:13" ht="13.5" customHeight="1">
      <c r="A37" s="400" t="s">
        <v>188</v>
      </c>
      <c r="B37" s="408">
        <v>8</v>
      </c>
      <c r="C37" s="419" t="s">
        <v>823</v>
      </c>
      <c r="D37" s="451" t="s">
        <v>440</v>
      </c>
      <c r="E37" s="400" t="s">
        <v>258</v>
      </c>
      <c r="F37" s="401">
        <v>18.526</v>
      </c>
      <c r="G37" s="402"/>
      <c r="H37" s="402">
        <f>ROUND(F37*G37,2)</f>
        <v>0</v>
      </c>
      <c r="I37" s="453"/>
      <c r="J37" s="453"/>
      <c r="K37" s="453"/>
      <c r="L37" s="453"/>
      <c r="M37" s="450">
        <f>$M$16</f>
        <v>21</v>
      </c>
    </row>
    <row r="38" spans="1:13" ht="13.5" customHeight="1">
      <c r="A38" s="400" t="s">
        <v>190</v>
      </c>
      <c r="B38" s="408">
        <v>8</v>
      </c>
      <c r="C38" s="419" t="s">
        <v>824</v>
      </c>
      <c r="D38" s="451" t="s">
        <v>441</v>
      </c>
      <c r="E38" s="400" t="s">
        <v>258</v>
      </c>
      <c r="F38" s="401">
        <v>3.816</v>
      </c>
      <c r="G38" s="402"/>
      <c r="H38" s="402">
        <f>ROUND(F38*G38,2)</f>
        <v>0</v>
      </c>
      <c r="I38" s="453"/>
      <c r="J38" s="453"/>
      <c r="K38" s="453"/>
      <c r="L38" s="453"/>
      <c r="M38" s="450">
        <f>$M$16</f>
        <v>21</v>
      </c>
    </row>
    <row r="39" spans="1:13" ht="13.5" customHeight="1">
      <c r="A39" s="400" t="s">
        <v>192</v>
      </c>
      <c r="B39" s="408">
        <v>8</v>
      </c>
      <c r="C39" s="419" t="s">
        <v>825</v>
      </c>
      <c r="D39" s="451" t="s">
        <v>442</v>
      </c>
      <c r="E39" s="400" t="s">
        <v>247</v>
      </c>
      <c r="F39" s="401">
        <v>7.632</v>
      </c>
      <c r="G39" s="402"/>
      <c r="H39" s="402">
        <f>ROUND(F39*G39,2)</f>
        <v>0</v>
      </c>
      <c r="I39" s="453"/>
      <c r="J39" s="453"/>
      <c r="K39" s="453"/>
      <c r="L39" s="453"/>
      <c r="M39" s="450">
        <f>$M$16</f>
        <v>21</v>
      </c>
    </row>
    <row r="40" spans="1:13" ht="13.5" customHeight="1">
      <c r="A40" s="400" t="s">
        <v>194</v>
      </c>
      <c r="B40" s="408">
        <v>8</v>
      </c>
      <c r="C40" s="419" t="s">
        <v>826</v>
      </c>
      <c r="D40" s="451" t="s">
        <v>443</v>
      </c>
      <c r="E40" s="400" t="s">
        <v>256</v>
      </c>
      <c r="F40" s="401">
        <v>4.98</v>
      </c>
      <c r="G40" s="402"/>
      <c r="H40" s="402">
        <f>ROUND(F40*G40,2)</f>
        <v>0</v>
      </c>
      <c r="I40" s="453"/>
      <c r="J40" s="453"/>
      <c r="K40" s="453"/>
      <c r="L40" s="453"/>
      <c r="M40" s="450">
        <f>$M$16</f>
        <v>21</v>
      </c>
    </row>
    <row r="41" spans="1:13" ht="13.5" customHeight="1">
      <c r="A41" s="400" t="s">
        <v>198</v>
      </c>
      <c r="B41" s="408">
        <v>8</v>
      </c>
      <c r="C41" s="419" t="s">
        <v>827</v>
      </c>
      <c r="D41" s="451" t="s">
        <v>444</v>
      </c>
      <c r="E41" s="400" t="s">
        <v>256</v>
      </c>
      <c r="F41" s="401">
        <v>10</v>
      </c>
      <c r="G41" s="402"/>
      <c r="H41" s="402">
        <f>ROUND(F41*G41,2)</f>
        <v>0</v>
      </c>
      <c r="I41" s="453"/>
      <c r="J41" s="453"/>
      <c r="K41" s="453"/>
      <c r="L41" s="453"/>
      <c r="M41" s="450">
        <f>$M$16</f>
        <v>21</v>
      </c>
    </row>
    <row r="42" spans="1:13" ht="13.5" customHeight="1">
      <c r="A42" s="446"/>
      <c r="B42" s="408"/>
      <c r="C42" s="446" t="s">
        <v>157</v>
      </c>
      <c r="D42" s="446" t="s">
        <v>285</v>
      </c>
      <c r="E42" s="446"/>
      <c r="F42" s="446"/>
      <c r="G42" s="446"/>
      <c r="H42" s="447">
        <f>SUM(H43:H44)</f>
        <v>0</v>
      </c>
      <c r="I42" s="453"/>
      <c r="J42" s="453"/>
      <c r="K42" s="453"/>
      <c r="L42" s="453"/>
      <c r="M42" s="450"/>
    </row>
    <row r="43" spans="1:13" ht="13.5" customHeight="1">
      <c r="A43" s="400" t="s">
        <v>202</v>
      </c>
      <c r="B43" s="408">
        <v>8</v>
      </c>
      <c r="C43" s="419" t="s">
        <v>828</v>
      </c>
      <c r="D43" s="451" t="s">
        <v>445</v>
      </c>
      <c r="E43" s="400" t="s">
        <v>317</v>
      </c>
      <c r="F43" s="401">
        <v>1</v>
      </c>
      <c r="G43" s="402"/>
      <c r="H43" s="402">
        <f>ROUND(F43*G43,2)</f>
        <v>0</v>
      </c>
      <c r="I43" s="453"/>
      <c r="J43" s="453"/>
      <c r="K43" s="453"/>
      <c r="L43" s="453"/>
      <c r="M43" s="450">
        <f>$M$16</f>
        <v>21</v>
      </c>
    </row>
    <row r="44" spans="1:13" ht="13.5" customHeight="1">
      <c r="A44" s="400" t="s">
        <v>204</v>
      </c>
      <c r="B44" s="408">
        <v>8</v>
      </c>
      <c r="C44" s="419" t="s">
        <v>829</v>
      </c>
      <c r="D44" s="451" t="s">
        <v>446</v>
      </c>
      <c r="E44" s="400" t="s">
        <v>274</v>
      </c>
      <c r="F44" s="401">
        <v>1</v>
      </c>
      <c r="G44" s="402"/>
      <c r="H44" s="402">
        <f>ROUND(F44*G44,2)</f>
        <v>0</v>
      </c>
      <c r="I44" s="453"/>
      <c r="J44" s="453"/>
      <c r="K44" s="453"/>
      <c r="L44" s="453"/>
      <c r="M44" s="450">
        <f>$M$16</f>
        <v>21</v>
      </c>
    </row>
    <row r="45" spans="1:13" ht="13.5" customHeight="1">
      <c r="A45" s="446"/>
      <c r="B45" s="408"/>
      <c r="C45" s="446" t="s">
        <v>163</v>
      </c>
      <c r="D45" s="446" t="s">
        <v>291</v>
      </c>
      <c r="E45" s="446"/>
      <c r="F45" s="446"/>
      <c r="G45" s="446"/>
      <c r="H45" s="447">
        <f>SUM(H46:H48)</f>
        <v>0</v>
      </c>
      <c r="I45" s="453"/>
      <c r="J45" s="453"/>
      <c r="K45" s="453"/>
      <c r="L45" s="453"/>
      <c r="M45" s="450"/>
    </row>
    <row r="46" spans="1:13" ht="13.5" customHeight="1">
      <c r="A46" s="400" t="s">
        <v>205</v>
      </c>
      <c r="B46" s="408">
        <v>8</v>
      </c>
      <c r="C46" s="419" t="s">
        <v>830</v>
      </c>
      <c r="D46" s="451" t="s">
        <v>447</v>
      </c>
      <c r="E46" s="400" t="s">
        <v>268</v>
      </c>
      <c r="F46" s="401">
        <v>134</v>
      </c>
      <c r="G46" s="402"/>
      <c r="H46" s="402">
        <f>ROUND(F46*G46,2)</f>
        <v>0</v>
      </c>
      <c r="I46" s="453"/>
      <c r="J46" s="453"/>
      <c r="K46" s="453"/>
      <c r="L46" s="453"/>
      <c r="M46" s="450">
        <f>$M$16</f>
        <v>21</v>
      </c>
    </row>
    <row r="47" spans="1:13" ht="13.5" customHeight="1">
      <c r="A47" s="400" t="s">
        <v>209</v>
      </c>
      <c r="B47" s="408">
        <v>8</v>
      </c>
      <c r="C47" s="419" t="s">
        <v>831</v>
      </c>
      <c r="D47" s="451" t="s">
        <v>448</v>
      </c>
      <c r="E47" s="400" t="s">
        <v>268</v>
      </c>
      <c r="F47" s="401">
        <v>1206</v>
      </c>
      <c r="G47" s="402"/>
      <c r="H47" s="402">
        <f>ROUND(F47*G47,2)</f>
        <v>0</v>
      </c>
      <c r="I47" s="453"/>
      <c r="J47" s="453"/>
      <c r="K47" s="453"/>
      <c r="L47" s="453"/>
      <c r="M47" s="450">
        <f>$M$16</f>
        <v>21</v>
      </c>
    </row>
    <row r="48" spans="1:13" ht="13.5" customHeight="1">
      <c r="A48" s="400" t="s">
        <v>211</v>
      </c>
      <c r="B48" s="408">
        <v>8</v>
      </c>
      <c r="C48" s="419" t="s">
        <v>832</v>
      </c>
      <c r="D48" s="451" t="s">
        <v>449</v>
      </c>
      <c r="E48" s="400" t="s">
        <v>268</v>
      </c>
      <c r="F48" s="401">
        <v>134</v>
      </c>
      <c r="G48" s="402"/>
      <c r="H48" s="402">
        <f>ROUND(F48*G48,2)</f>
        <v>0</v>
      </c>
      <c r="I48" s="453"/>
      <c r="J48" s="453"/>
      <c r="K48" s="453"/>
      <c r="L48" s="453"/>
      <c r="M48" s="450">
        <f>$M$16</f>
        <v>21</v>
      </c>
    </row>
    <row r="49" spans="1:13" ht="13.5" customHeight="1">
      <c r="A49" s="446"/>
      <c r="B49" s="408"/>
      <c r="C49" s="446" t="s">
        <v>300</v>
      </c>
      <c r="D49" s="446" t="s">
        <v>301</v>
      </c>
      <c r="E49" s="446"/>
      <c r="F49" s="446"/>
      <c r="G49" s="446"/>
      <c r="H49" s="447">
        <f>H50</f>
        <v>0</v>
      </c>
      <c r="I49" s="453"/>
      <c r="J49" s="453"/>
      <c r="K49" s="453"/>
      <c r="L49" s="453"/>
      <c r="M49" s="450"/>
    </row>
    <row r="50" spans="1:13" ht="13.5" customHeight="1">
      <c r="A50" s="400" t="s">
        <v>213</v>
      </c>
      <c r="B50" s="408">
        <v>8</v>
      </c>
      <c r="C50" s="419" t="s">
        <v>754</v>
      </c>
      <c r="D50" s="451" t="s">
        <v>303</v>
      </c>
      <c r="E50" s="400" t="s">
        <v>268</v>
      </c>
      <c r="F50" s="401">
        <v>149.45</v>
      </c>
      <c r="G50" s="402"/>
      <c r="H50" s="402">
        <f>ROUND(F50*G50,2)</f>
        <v>0</v>
      </c>
      <c r="I50" s="453"/>
      <c r="J50" s="453"/>
      <c r="K50" s="453"/>
      <c r="L50" s="453"/>
      <c r="M50" s="450">
        <f>$M$16</f>
        <v>21</v>
      </c>
    </row>
    <row r="51" spans="1:13" ht="13.5" customHeight="1">
      <c r="A51" s="399"/>
      <c r="B51" s="453"/>
      <c r="C51" s="399"/>
      <c r="D51" s="399" t="s">
        <v>124</v>
      </c>
      <c r="E51" s="399"/>
      <c r="F51" s="399"/>
      <c r="G51" s="399"/>
      <c r="H51" s="454">
        <f>H14</f>
        <v>0</v>
      </c>
      <c r="I51" s="453"/>
      <c r="J51" s="453"/>
      <c r="K51" s="453"/>
      <c r="L51" s="453"/>
      <c r="M51" s="450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V33" sqref="V33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450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102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451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SUMIF('[8]Rozpocet'!O5:O65535,8,'[8]Rozpocet'!I5:I65535)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30240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SUMIF('[8]Rozpocet'!O10:O65536,4,'[8]Rozpocet'!I10:I65536)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SUMIF('[8]Rozpocet'!O11:O65536,32,'[8]Rozpocet'!I11:I65536)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SUMIF('[8]Rozpocet'!O12:O65536,16,'[8]Rozpocet'!I12:I65536)+SUMIF('[8]Rozpocet'!O12:O65536,128,'[8]Rozpocet'!I12:I65536)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SUMIF('[8]Rozpocet'!O13:O65536,256,'[8]Rozpocet'!I13:I65536)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SUMIF('[8]Rozpocet'!O14:O65536,64,'[8]Rozpocet'!I14:I65536)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SUMIF('[8]Rozpocet'!O14:O65536,1024,'[8]Rozpocet'!I14:I65536)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SUMIF('[8]Rozpocet'!O14:O65536,512,'[8]Rozpocet'!I14:I65536)</f>
        <v>#VALUE!</v>
      </c>
      <c r="F45" s="223"/>
      <c r="G45" s="267">
        <v>21</v>
      </c>
      <c r="H45" s="268" t="s">
        <v>193</v>
      </c>
      <c r="I45" s="270"/>
      <c r="J45" s="272">
        <v>16163.35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SUMIF('[8]Rozpocet'!O14:O65536,"&lt;4",'[8]Rozpocet'!I14:I65536)+SUMIF('[8]Rozpocet'!O14:O65536,"&gt;1024",'[8]Rozpocet'!I14:I65536)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SUMIF('[8]Rozpocet'!N14:N65536,M49,'[8]Rozpocet'!I14:I65536)+SUMIF(P38:P42,M49,R38:R42)+IF(K45=M49,J45,0)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D46" sqref="D46"/>
    </sheetView>
  </sheetViews>
  <sheetFormatPr defaultColWidth="9.00390625" defaultRowHeight="12" customHeight="1"/>
  <cols>
    <col min="1" max="3" width="10.00390625" style="66" customWidth="1"/>
    <col min="4" max="4" width="38.421875" style="66" customWidth="1"/>
    <col min="5" max="5" width="13.57421875" style="66" customWidth="1"/>
    <col min="6" max="6" width="11.57421875" style="66" customWidth="1"/>
    <col min="7" max="7" width="13.7109375" style="66" customWidth="1"/>
    <col min="8" max="8" width="14.00390625" style="66" customWidth="1"/>
    <col min="9" max="9" width="13.8515625" style="66" customWidth="1"/>
    <col min="10" max="10" width="12.28125" style="66" customWidth="1"/>
    <col min="11" max="16384" width="9.00390625" style="69" customWidth="1"/>
  </cols>
  <sheetData>
    <row r="1" spans="1:10" s="66" customFormat="1" ht="22.5" customHeight="1">
      <c r="A1" s="64" t="s">
        <v>71</v>
      </c>
      <c r="B1" s="64"/>
      <c r="C1" s="64"/>
      <c r="D1" s="65"/>
      <c r="E1" s="65"/>
      <c r="F1" s="65"/>
      <c r="G1" s="65"/>
      <c r="H1" s="65"/>
      <c r="I1" s="65"/>
      <c r="J1" s="65"/>
    </row>
    <row r="2" spans="1:10" s="66" customFormat="1" ht="7.5" customHeight="1">
      <c r="A2" s="67"/>
      <c r="B2" s="67"/>
      <c r="C2" s="67"/>
      <c r="D2" s="65"/>
      <c r="E2" s="65"/>
      <c r="F2" s="65"/>
      <c r="G2" s="65"/>
      <c r="H2" s="65"/>
      <c r="I2" s="65"/>
      <c r="J2" s="65"/>
    </row>
    <row r="3" spans="1:10" s="66" customFormat="1" ht="15" customHeight="1">
      <c r="A3" s="339" t="s">
        <v>72</v>
      </c>
      <c r="B3" s="339"/>
      <c r="C3" s="339"/>
      <c r="D3" s="338" t="s">
        <v>619</v>
      </c>
      <c r="E3" s="67"/>
      <c r="F3" s="67" t="s">
        <v>73</v>
      </c>
      <c r="G3" s="68" t="s">
        <v>74</v>
      </c>
      <c r="H3" s="67"/>
      <c r="I3" s="67"/>
      <c r="J3" s="67"/>
    </row>
    <row r="4" spans="1:10" s="66" customFormat="1" ht="12.75" customHeight="1">
      <c r="A4" s="67" t="s">
        <v>11</v>
      </c>
      <c r="B4" s="67"/>
      <c r="C4" s="67"/>
      <c r="D4" s="68" t="s">
        <v>620</v>
      </c>
      <c r="E4" s="67"/>
      <c r="F4" s="67"/>
      <c r="G4" s="68"/>
      <c r="H4" s="67"/>
      <c r="I4" s="67"/>
      <c r="J4" s="67"/>
    </row>
    <row r="5" spans="1:10" s="66" customFormat="1" ht="12.75" customHeight="1">
      <c r="A5" s="67"/>
      <c r="B5" s="67"/>
      <c r="C5" s="67"/>
      <c r="D5" s="68"/>
      <c r="E5" s="67"/>
      <c r="F5" s="67"/>
      <c r="G5" s="67"/>
      <c r="H5" s="67"/>
      <c r="I5" s="67"/>
      <c r="J5" s="67"/>
    </row>
    <row r="6" spans="1:10" s="66" customFormat="1" ht="6.75" customHeight="1" thickBot="1">
      <c r="A6" s="67"/>
      <c r="B6" s="67"/>
      <c r="C6" s="67"/>
      <c r="D6" s="65"/>
      <c r="E6" s="65"/>
      <c r="F6" s="65"/>
      <c r="G6" s="65"/>
      <c r="H6" s="65"/>
      <c r="I6" s="65"/>
      <c r="J6" s="65"/>
    </row>
    <row r="7" spans="1:10" s="66" customFormat="1" ht="23.25" customHeight="1">
      <c r="A7" s="358" t="s">
        <v>75</v>
      </c>
      <c r="B7" s="359" t="s">
        <v>706</v>
      </c>
      <c r="C7" s="359" t="s">
        <v>621</v>
      </c>
      <c r="D7" s="360" t="s">
        <v>76</v>
      </c>
      <c r="E7" s="360" t="s">
        <v>77</v>
      </c>
      <c r="F7" s="360" t="s">
        <v>78</v>
      </c>
      <c r="G7" s="360" t="s">
        <v>79</v>
      </c>
      <c r="H7" s="360" t="s">
        <v>80</v>
      </c>
      <c r="I7" s="360" t="s">
        <v>81</v>
      </c>
      <c r="J7" s="361" t="s">
        <v>82</v>
      </c>
    </row>
    <row r="8" spans="1:10" s="66" customFormat="1" ht="6.75" customHeight="1">
      <c r="A8" s="362"/>
      <c r="B8" s="363"/>
      <c r="C8" s="363"/>
      <c r="D8" s="364"/>
      <c r="E8" s="364"/>
      <c r="F8" s="364"/>
      <c r="G8" s="364"/>
      <c r="H8" s="364"/>
      <c r="I8" s="364"/>
      <c r="J8" s="365"/>
    </row>
    <row r="9" spans="1:10" s="66" customFormat="1" ht="25.5" customHeight="1">
      <c r="A9" s="366" t="s">
        <v>83</v>
      </c>
      <c r="B9" s="367"/>
      <c r="C9" s="367"/>
      <c r="D9" s="367" t="s">
        <v>2</v>
      </c>
      <c r="E9" s="368" t="e">
        <f>E10+E20+E21+E25+E26+E27+E28+E29+E30</f>
        <v>#VALUE!</v>
      </c>
      <c r="F9" s="368">
        <v>0</v>
      </c>
      <c r="G9" s="368" t="e">
        <f>0.2*E9</f>
        <v>#VALUE!</v>
      </c>
      <c r="H9" s="368" t="e">
        <f>E9+G9</f>
        <v>#VALUE!</v>
      </c>
      <c r="I9" s="368" t="e">
        <f>I10+I20+I21+I25+I26+I27+I28+I29</f>
        <v>#VALUE!</v>
      </c>
      <c r="J9" s="369" t="e">
        <f>J10+J20+J21+J25+J26+J27+J28+J29</f>
        <v>#VALUE!</v>
      </c>
    </row>
    <row r="10" spans="1:10" s="66" customFormat="1" ht="11.25" customHeight="1">
      <c r="A10" s="370" t="s">
        <v>84</v>
      </c>
      <c r="B10" s="371" t="s">
        <v>707</v>
      </c>
      <c r="C10" s="371"/>
      <c r="D10" s="371" t="s">
        <v>85</v>
      </c>
      <c r="E10" s="372" t="e">
        <f>SUM(E11:E19)</f>
        <v>#VALUE!</v>
      </c>
      <c r="F10" s="373">
        <v>0</v>
      </c>
      <c r="G10" s="373" t="e">
        <f>0.2*E10</f>
        <v>#VALUE!</v>
      </c>
      <c r="H10" s="373" t="e">
        <f>E10+G10</f>
        <v>#VALUE!</v>
      </c>
      <c r="I10" s="373" t="e">
        <f>SUM(I11:I19)</f>
        <v>#VALUE!</v>
      </c>
      <c r="J10" s="374" t="e">
        <f>SUM(J11:J19)</f>
        <v>#VALUE!</v>
      </c>
    </row>
    <row r="11" spans="1:10" s="66" customFormat="1" ht="11.25" customHeight="1">
      <c r="A11" s="370" t="s">
        <v>86</v>
      </c>
      <c r="B11" s="371"/>
      <c r="C11" s="375">
        <v>1</v>
      </c>
      <c r="D11" s="371" t="s">
        <v>87</v>
      </c>
      <c r="E11" s="376" t="e">
        <f aca="true" t="shared" si="0" ref="E11:E20">I11+J11</f>
        <v>#VALUE!</v>
      </c>
      <c r="F11" s="376">
        <v>0</v>
      </c>
      <c r="G11" s="373" t="e">
        <f aca="true" t="shared" si="1" ref="G11:G29">0.2*E11</f>
        <v>#VALUE!</v>
      </c>
      <c r="H11" s="373" t="e">
        <f aca="true" t="shared" si="2" ref="H11:H29">E11+G11</f>
        <v>#VALUE!</v>
      </c>
      <c r="I11" s="376" t="e">
        <f>'KL-SO 01-RA-DN 250'!E44</f>
        <v>#VALUE!</v>
      </c>
      <c r="J11" s="377" t="e">
        <f>'KL-SO 01-RA-DN 250'!R44</f>
        <v>#VALUE!</v>
      </c>
    </row>
    <row r="12" spans="1:10" s="66" customFormat="1" ht="11.25" customHeight="1">
      <c r="A12" s="370" t="s">
        <v>88</v>
      </c>
      <c r="B12" s="371"/>
      <c r="C12" s="375">
        <v>2</v>
      </c>
      <c r="D12" s="371" t="s">
        <v>89</v>
      </c>
      <c r="E12" s="376" t="e">
        <f t="shared" si="0"/>
        <v>#VALUE!</v>
      </c>
      <c r="F12" s="376">
        <v>0</v>
      </c>
      <c r="G12" s="373" t="e">
        <f t="shared" si="1"/>
        <v>#VALUE!</v>
      </c>
      <c r="H12" s="373" t="e">
        <f>E12+G12</f>
        <v>#VALUE!</v>
      </c>
      <c r="I12" s="376" t="e">
        <f>'KL-SO 01-RA-DN 300'!E44</f>
        <v>#VALUE!</v>
      </c>
      <c r="J12" s="377" t="e">
        <f>'KL-SO 01-RA-DN 300'!R44</f>
        <v>#VALUE!</v>
      </c>
    </row>
    <row r="13" spans="1:10" s="66" customFormat="1" ht="11.25" customHeight="1">
      <c r="A13" s="370" t="s">
        <v>90</v>
      </c>
      <c r="B13" s="371"/>
      <c r="C13" s="375">
        <v>3</v>
      </c>
      <c r="D13" s="371" t="s">
        <v>91</v>
      </c>
      <c r="E13" s="376" t="e">
        <f t="shared" si="0"/>
        <v>#VALUE!</v>
      </c>
      <c r="F13" s="376">
        <v>0</v>
      </c>
      <c r="G13" s="373" t="e">
        <f t="shared" si="1"/>
        <v>#VALUE!</v>
      </c>
      <c r="H13" s="373" t="e">
        <f t="shared" si="2"/>
        <v>#VALUE!</v>
      </c>
      <c r="I13" s="376" t="e">
        <f>'KL-SO 01-RA-DN 400'!E44</f>
        <v>#VALUE!</v>
      </c>
      <c r="J13" s="377" t="e">
        <f>'KL-SO 01-RA-DN 400'!R44</f>
        <v>#VALUE!</v>
      </c>
    </row>
    <row r="14" spans="1:10" s="66" customFormat="1" ht="11.25" customHeight="1">
      <c r="A14" s="370" t="s">
        <v>92</v>
      </c>
      <c r="B14" s="371"/>
      <c r="C14" s="375">
        <v>4</v>
      </c>
      <c r="D14" s="371" t="s">
        <v>93</v>
      </c>
      <c r="E14" s="376" t="e">
        <f t="shared" si="0"/>
        <v>#VALUE!</v>
      </c>
      <c r="F14" s="376">
        <v>0</v>
      </c>
      <c r="G14" s="373" t="e">
        <f t="shared" si="1"/>
        <v>#VALUE!</v>
      </c>
      <c r="H14" s="373" t="e">
        <f t="shared" si="2"/>
        <v>#VALUE!</v>
      </c>
      <c r="I14" s="376" t="e">
        <f>'KL-SO 01-RA-SKL DN 400'!E44</f>
        <v>#VALUE!</v>
      </c>
      <c r="J14" s="377" t="e">
        <f>'KL-SO 01-RA-SKL DN 400'!R44</f>
        <v>#VALUE!</v>
      </c>
    </row>
    <row r="15" spans="1:10" s="66" customFormat="1" ht="11.25" customHeight="1">
      <c r="A15" s="370" t="s">
        <v>94</v>
      </c>
      <c r="B15" s="371"/>
      <c r="C15" s="375">
        <v>5</v>
      </c>
      <c r="D15" s="371" t="s">
        <v>95</v>
      </c>
      <c r="E15" s="376" t="e">
        <f t="shared" si="0"/>
        <v>#VALUE!</v>
      </c>
      <c r="F15" s="376">
        <v>0</v>
      </c>
      <c r="G15" s="373" t="e">
        <f t="shared" si="1"/>
        <v>#VALUE!</v>
      </c>
      <c r="H15" s="373" t="e">
        <f t="shared" si="2"/>
        <v>#VALUE!</v>
      </c>
      <c r="I15" s="376" t="e">
        <f>'KL-SO 01-K1-DN 400'!E44</f>
        <v>#VALUE!</v>
      </c>
      <c r="J15" s="377" t="e">
        <f>'KL-SO 01-K1-DN 400'!R44</f>
        <v>#VALUE!</v>
      </c>
    </row>
    <row r="16" spans="1:10" s="66" customFormat="1" ht="11.25" customHeight="1">
      <c r="A16" s="370" t="s">
        <v>96</v>
      </c>
      <c r="B16" s="371"/>
      <c r="C16" s="375">
        <v>6</v>
      </c>
      <c r="D16" s="371" t="s">
        <v>97</v>
      </c>
      <c r="E16" s="376" t="e">
        <f t="shared" si="0"/>
        <v>#VALUE!</v>
      </c>
      <c r="F16" s="376">
        <v>0</v>
      </c>
      <c r="G16" s="373" t="e">
        <f t="shared" si="1"/>
        <v>#VALUE!</v>
      </c>
      <c r="H16" s="373" t="e">
        <f t="shared" si="2"/>
        <v>#VALUE!</v>
      </c>
      <c r="I16" s="376" t="e">
        <f>'KL-SO 01-D1 B-DN 1200'!E44</f>
        <v>#VALUE!</v>
      </c>
      <c r="J16" s="377" t="e">
        <f>'KL-SO 01-D1 B-DN 1200'!R44</f>
        <v>#VALUE!</v>
      </c>
    </row>
    <row r="17" spans="1:10" s="66" customFormat="1" ht="11.25" customHeight="1">
      <c r="A17" s="370" t="s">
        <v>98</v>
      </c>
      <c r="B17" s="371"/>
      <c r="C17" s="375">
        <v>7</v>
      </c>
      <c r="D17" s="371" t="s">
        <v>99</v>
      </c>
      <c r="E17" s="376" t="e">
        <f t="shared" si="0"/>
        <v>#VALUE!</v>
      </c>
      <c r="F17" s="376">
        <v>0</v>
      </c>
      <c r="G17" s="373" t="e">
        <f t="shared" si="1"/>
        <v>#VALUE!</v>
      </c>
      <c r="H17" s="373" t="e">
        <f t="shared" si="2"/>
        <v>#VALUE!</v>
      </c>
      <c r="I17" s="376" t="e">
        <f>'KL-SO 01 D1-SKL DN1200'!E44</f>
        <v>#VALUE!</v>
      </c>
      <c r="J17" s="377" t="e">
        <f>'KL-SO 01 D1-SKL DN1200'!R44</f>
        <v>#VALUE!</v>
      </c>
    </row>
    <row r="18" spans="1:10" s="66" customFormat="1" ht="11.25" customHeight="1">
      <c r="A18" s="370" t="s">
        <v>100</v>
      </c>
      <c r="B18" s="371"/>
      <c r="C18" s="375">
        <v>8</v>
      </c>
      <c r="D18" s="371" t="s">
        <v>101</v>
      </c>
      <c r="E18" s="376">
        <f t="shared" si="0"/>
        <v>997917.0099999999</v>
      </c>
      <c r="F18" s="376">
        <v>0</v>
      </c>
      <c r="G18" s="373">
        <f t="shared" si="1"/>
        <v>199583.402</v>
      </c>
      <c r="H18" s="373">
        <f t="shared" si="2"/>
        <v>1197500.412</v>
      </c>
      <c r="I18" s="376">
        <f>'KL-SO 01-V obj'!E44</f>
        <v>962318.6299999999</v>
      </c>
      <c r="J18" s="377">
        <f>'KL-SO 01-V obj'!R44</f>
        <v>35598.380000000005</v>
      </c>
    </row>
    <row r="19" spans="1:10" s="66" customFormat="1" ht="11.25" customHeight="1">
      <c r="A19" s="370" t="s">
        <v>102</v>
      </c>
      <c r="B19" s="371"/>
      <c r="C19" s="375">
        <v>9</v>
      </c>
      <c r="D19" s="371" t="s">
        <v>103</v>
      </c>
      <c r="E19" s="376" t="e">
        <f t="shared" si="0"/>
        <v>#VALUE!</v>
      </c>
      <c r="F19" s="376">
        <v>0</v>
      </c>
      <c r="G19" s="373" t="e">
        <f t="shared" si="1"/>
        <v>#VALUE!</v>
      </c>
      <c r="H19" s="373" t="e">
        <f t="shared" si="2"/>
        <v>#VALUE!</v>
      </c>
      <c r="I19" s="376" t="e">
        <f>'KL SO 01-monitor'!E44</f>
        <v>#VALUE!</v>
      </c>
      <c r="J19" s="377" t="e">
        <f>'KL SO 01-monitor'!R44</f>
        <v>#VALUE!</v>
      </c>
    </row>
    <row r="20" spans="1:10" s="66" customFormat="1" ht="11.25" customHeight="1">
      <c r="A20" s="370" t="s">
        <v>104</v>
      </c>
      <c r="B20" s="378" t="s">
        <v>707</v>
      </c>
      <c r="C20" s="375">
        <v>10</v>
      </c>
      <c r="D20" s="371" t="s">
        <v>105</v>
      </c>
      <c r="E20" s="368">
        <f t="shared" si="0"/>
        <v>7364421.990000001</v>
      </c>
      <c r="F20" s="376">
        <v>0</v>
      </c>
      <c r="G20" s="373">
        <f t="shared" si="1"/>
        <v>1472884.3980000003</v>
      </c>
      <c r="H20" s="373">
        <f t="shared" si="2"/>
        <v>8837306.388000002</v>
      </c>
      <c r="I20" s="376">
        <f>'KL-SO 01.1'!E44</f>
        <v>7109737.460000001</v>
      </c>
      <c r="J20" s="377">
        <f>'KL-SO 01.1'!R44</f>
        <v>254684.53000000003</v>
      </c>
    </row>
    <row r="21" spans="1:10" s="66" customFormat="1" ht="11.25" customHeight="1">
      <c r="A21" s="370" t="s">
        <v>106</v>
      </c>
      <c r="B21" s="371" t="s">
        <v>707</v>
      </c>
      <c r="C21" s="375"/>
      <c r="D21" s="371" t="s">
        <v>107</v>
      </c>
      <c r="E21" s="372">
        <f>E22+E23+E24</f>
        <v>1594163.7499999998</v>
      </c>
      <c r="F21" s="373">
        <v>0</v>
      </c>
      <c r="G21" s="373">
        <f t="shared" si="1"/>
        <v>318832.75</v>
      </c>
      <c r="H21" s="373">
        <f t="shared" si="2"/>
        <v>1912996.4999999998</v>
      </c>
      <c r="I21" s="373">
        <f>I22+I23+I24</f>
        <v>1537169.9299999997</v>
      </c>
      <c r="J21" s="374">
        <f>J22+J23+J24</f>
        <v>56993.82</v>
      </c>
    </row>
    <row r="22" spans="1:10" s="66" customFormat="1" ht="11.25" customHeight="1">
      <c r="A22" s="370" t="s">
        <v>108</v>
      </c>
      <c r="B22" s="371"/>
      <c r="C22" s="375">
        <v>11</v>
      </c>
      <c r="D22" s="371" t="s">
        <v>109</v>
      </c>
      <c r="E22" s="376">
        <f aca="true" t="shared" si="3" ref="E22:E29">I22+J22</f>
        <v>1245695.4699999997</v>
      </c>
      <c r="F22" s="376">
        <v>0</v>
      </c>
      <c r="G22" s="373">
        <f t="shared" si="1"/>
        <v>249139.09399999995</v>
      </c>
      <c r="H22" s="373">
        <f t="shared" si="2"/>
        <v>1494834.5639999998</v>
      </c>
      <c r="I22" s="376">
        <f>'KL-SO 02-KP-RA DN150'!E44</f>
        <v>1201415.0199999998</v>
      </c>
      <c r="J22" s="377">
        <f>'KL-SO 02-KP-RA DN150'!R44</f>
        <v>44280.45</v>
      </c>
    </row>
    <row r="23" spans="1:10" s="66" customFormat="1" ht="11.25" customHeight="1">
      <c r="A23" s="370" t="s">
        <v>110</v>
      </c>
      <c r="B23" s="371"/>
      <c r="C23" s="375">
        <v>12</v>
      </c>
      <c r="D23" s="371" t="s">
        <v>111</v>
      </c>
      <c r="E23" s="376">
        <f t="shared" si="3"/>
        <v>315349.25</v>
      </c>
      <c r="F23" s="376">
        <v>0</v>
      </c>
      <c r="G23" s="373">
        <f t="shared" si="1"/>
        <v>63069.850000000006</v>
      </c>
      <c r="H23" s="373">
        <f t="shared" si="2"/>
        <v>378419.1</v>
      </c>
      <c r="I23" s="376">
        <f>'KL-SO 02-KP-RA DN 200'!E44</f>
        <v>303887</v>
      </c>
      <c r="J23" s="377">
        <f>'KL-SO 02-KP-RA DN 200'!R44</f>
        <v>11462.25</v>
      </c>
    </row>
    <row r="24" spans="1:10" s="66" customFormat="1" ht="11.25" customHeight="1">
      <c r="A24" s="370" t="s">
        <v>112</v>
      </c>
      <c r="B24" s="371"/>
      <c r="C24" s="375">
        <v>13</v>
      </c>
      <c r="D24" s="371" t="s">
        <v>113</v>
      </c>
      <c r="E24" s="376">
        <f t="shared" si="3"/>
        <v>33119.03</v>
      </c>
      <c r="F24" s="376">
        <v>0</v>
      </c>
      <c r="G24" s="373">
        <f t="shared" si="1"/>
        <v>6623.8060000000005</v>
      </c>
      <c r="H24" s="373">
        <f t="shared" si="2"/>
        <v>39742.835999999996</v>
      </c>
      <c r="I24" s="376">
        <f>'KL-SO 02-KP-D1 DN150'!E44</f>
        <v>31867.91</v>
      </c>
      <c r="J24" s="377">
        <f>'KL-SO 02-KP-D1 DN150'!R44</f>
        <v>1251.1200000000001</v>
      </c>
    </row>
    <row r="25" spans="1:10" s="66" customFormat="1" ht="11.25" customHeight="1">
      <c r="A25" s="370" t="s">
        <v>114</v>
      </c>
      <c r="B25" s="371" t="s">
        <v>708</v>
      </c>
      <c r="C25" s="375">
        <v>14</v>
      </c>
      <c r="D25" s="371" t="s">
        <v>115</v>
      </c>
      <c r="E25" s="368" t="e">
        <f t="shared" si="3"/>
        <v>#VALUE!</v>
      </c>
      <c r="F25" s="376">
        <v>0</v>
      </c>
      <c r="G25" s="373" t="e">
        <f t="shared" si="1"/>
        <v>#VALUE!</v>
      </c>
      <c r="H25" s="373" t="e">
        <f t="shared" si="2"/>
        <v>#VALUE!</v>
      </c>
      <c r="I25" s="376" t="e">
        <f>'KL-SO 03'!E44</f>
        <v>#VALUE!</v>
      </c>
      <c r="J25" s="377" t="e">
        <f>'KL-SO 03'!R44</f>
        <v>#VALUE!</v>
      </c>
    </row>
    <row r="26" spans="1:10" s="66" customFormat="1" ht="11.25" customHeight="1">
      <c r="A26" s="370" t="s">
        <v>116</v>
      </c>
      <c r="B26" s="371" t="s">
        <v>709</v>
      </c>
      <c r="C26" s="375">
        <v>15</v>
      </c>
      <c r="D26" s="371" t="s">
        <v>117</v>
      </c>
      <c r="E26" s="368" t="e">
        <f t="shared" si="3"/>
        <v>#VALUE!</v>
      </c>
      <c r="F26" s="376">
        <v>0</v>
      </c>
      <c r="G26" s="373" t="e">
        <f t="shared" si="1"/>
        <v>#VALUE!</v>
      </c>
      <c r="H26" s="373" t="e">
        <f t="shared" si="2"/>
        <v>#VALUE!</v>
      </c>
      <c r="I26" s="376" t="e">
        <f>'KL-SO 04'!E44</f>
        <v>#VALUE!</v>
      </c>
      <c r="J26" s="377" t="e">
        <f>'KL-SO 04'!R44</f>
        <v>#VALUE!</v>
      </c>
    </row>
    <row r="27" spans="1:10" s="66" customFormat="1" ht="11.25" customHeight="1">
      <c r="A27" s="370" t="s">
        <v>118</v>
      </c>
      <c r="B27" s="371" t="s">
        <v>709</v>
      </c>
      <c r="C27" s="375">
        <v>16</v>
      </c>
      <c r="D27" s="371" t="s">
        <v>119</v>
      </c>
      <c r="E27" s="368" t="e">
        <f t="shared" si="3"/>
        <v>#VALUE!</v>
      </c>
      <c r="F27" s="376">
        <v>0</v>
      </c>
      <c r="G27" s="373" t="e">
        <f t="shared" si="1"/>
        <v>#VALUE!</v>
      </c>
      <c r="H27" s="373" t="e">
        <f t="shared" si="2"/>
        <v>#VALUE!</v>
      </c>
      <c r="I27" s="376" t="e">
        <f>'KL-SO 05'!E44</f>
        <v>#VALUE!</v>
      </c>
      <c r="J27" s="377" t="e">
        <f>'KL-SO 05'!R44</f>
        <v>#VALUE!</v>
      </c>
    </row>
    <row r="28" spans="1:10" s="66" customFormat="1" ht="11.25" customHeight="1">
      <c r="A28" s="370" t="s">
        <v>120</v>
      </c>
      <c r="B28" s="371" t="s">
        <v>709</v>
      </c>
      <c r="C28" s="375">
        <v>17</v>
      </c>
      <c r="D28" s="371" t="s">
        <v>121</v>
      </c>
      <c r="E28" s="368" t="e">
        <f t="shared" si="3"/>
        <v>#VALUE!</v>
      </c>
      <c r="F28" s="376">
        <v>0</v>
      </c>
      <c r="G28" s="373" t="e">
        <f t="shared" si="1"/>
        <v>#VALUE!</v>
      </c>
      <c r="H28" s="373" t="e">
        <f t="shared" si="2"/>
        <v>#VALUE!</v>
      </c>
      <c r="I28" s="376" t="e">
        <f>'KL-SO 06'!E44</f>
        <v>#VALUE!</v>
      </c>
      <c r="J28" s="377" t="e">
        <f>'KL-SO 06'!R44</f>
        <v>#VALUE!</v>
      </c>
    </row>
    <row r="29" spans="1:10" s="66" customFormat="1" ht="11.25" customHeight="1">
      <c r="A29" s="370" t="s">
        <v>122</v>
      </c>
      <c r="B29" s="371" t="s">
        <v>709</v>
      </c>
      <c r="C29" s="375">
        <v>18</v>
      </c>
      <c r="D29" s="371" t="s">
        <v>123</v>
      </c>
      <c r="E29" s="368" t="e">
        <f t="shared" si="3"/>
        <v>#VALUE!</v>
      </c>
      <c r="F29" s="376">
        <v>0</v>
      </c>
      <c r="G29" s="373" t="e">
        <f t="shared" si="1"/>
        <v>#VALUE!</v>
      </c>
      <c r="H29" s="373" t="e">
        <f t="shared" si="2"/>
        <v>#VALUE!</v>
      </c>
      <c r="I29" s="376" t="e">
        <f>'KL-SO 07'!E44</f>
        <v>#VALUE!</v>
      </c>
      <c r="J29" s="377" t="e">
        <f>'KL-SO 07'!R44</f>
        <v>#VALUE!</v>
      </c>
    </row>
    <row r="30" spans="1:10" ht="12" customHeight="1">
      <c r="A30" s="379"/>
      <c r="B30" s="378" t="s">
        <v>710</v>
      </c>
      <c r="C30" s="375">
        <v>19</v>
      </c>
      <c r="D30" s="371" t="s">
        <v>711</v>
      </c>
      <c r="E30" s="368">
        <v>595860</v>
      </c>
      <c r="F30" s="376"/>
      <c r="G30" s="376">
        <f>0.2*E30</f>
        <v>119172</v>
      </c>
      <c r="H30" s="376">
        <f>E30+G30</f>
        <v>715032</v>
      </c>
      <c r="I30" s="376">
        <f>E30</f>
        <v>595860</v>
      </c>
      <c r="J30" s="377">
        <v>0</v>
      </c>
    </row>
    <row r="31" spans="1:10" ht="17.25" customHeight="1">
      <c r="A31" s="379"/>
      <c r="B31" s="378"/>
      <c r="C31" s="375"/>
      <c r="D31" s="384" t="s">
        <v>714</v>
      </c>
      <c r="E31" s="387" t="e">
        <f aca="true" t="shared" si="4" ref="E31:J31">E9</f>
        <v>#VALUE!</v>
      </c>
      <c r="F31" s="387">
        <f t="shared" si="4"/>
        <v>0</v>
      </c>
      <c r="G31" s="387" t="e">
        <f t="shared" si="4"/>
        <v>#VALUE!</v>
      </c>
      <c r="H31" s="387" t="e">
        <f t="shared" si="4"/>
        <v>#VALUE!</v>
      </c>
      <c r="I31" s="387" t="e">
        <f t="shared" si="4"/>
        <v>#VALUE!</v>
      </c>
      <c r="J31" s="394" t="e">
        <f t="shared" si="4"/>
        <v>#VALUE!</v>
      </c>
    </row>
    <row r="32" spans="1:10" ht="22.5" customHeight="1" thickBot="1">
      <c r="A32" s="380"/>
      <c r="B32" s="395"/>
      <c r="C32" s="381">
        <v>20</v>
      </c>
      <c r="D32" s="382" t="s">
        <v>712</v>
      </c>
      <c r="E32" s="396">
        <v>4495842</v>
      </c>
      <c r="F32" s="396"/>
      <c r="G32" s="396">
        <f>0.2*E32</f>
        <v>899168.4</v>
      </c>
      <c r="H32" s="396">
        <f>E32+G32</f>
        <v>5395010.4</v>
      </c>
      <c r="I32" s="396">
        <f>E32</f>
        <v>4495842</v>
      </c>
      <c r="J32" s="383">
        <v>0</v>
      </c>
    </row>
    <row r="33" spans="1:10" ht="12" customHeight="1" hidden="1" thickBot="1">
      <c r="A33" s="388"/>
      <c r="B33" s="389"/>
      <c r="C33" s="390">
        <v>21</v>
      </c>
      <c r="D33" s="391" t="s">
        <v>713</v>
      </c>
      <c r="E33" s="392" t="e">
        <f>0.1*(E10+E20+E21+E25+E26+E27+E28+E29)</f>
        <v>#VALUE!</v>
      </c>
      <c r="F33" s="392"/>
      <c r="G33" s="392" t="e">
        <f>0.2*E33</f>
        <v>#VALUE!</v>
      </c>
      <c r="H33" s="392" t="e">
        <f>E33+G33</f>
        <v>#VALUE!</v>
      </c>
      <c r="I33" s="392" t="e">
        <f>E33</f>
        <v>#VALUE!</v>
      </c>
      <c r="J33" s="393">
        <v>0</v>
      </c>
    </row>
    <row r="34" spans="2:10" ht="12" customHeight="1">
      <c r="B34" s="355"/>
      <c r="C34" s="355"/>
      <c r="D34" s="356"/>
      <c r="E34" s="357"/>
      <c r="F34" s="357"/>
      <c r="G34" s="357"/>
      <c r="H34" s="357"/>
      <c r="I34" s="357"/>
      <c r="J34" s="357"/>
    </row>
    <row r="35" spans="2:10" ht="12" customHeight="1">
      <c r="B35" s="355"/>
      <c r="C35" s="355"/>
      <c r="D35" s="385" t="s">
        <v>124</v>
      </c>
      <c r="E35" s="386" t="e">
        <f>E31+E32</f>
        <v>#VALUE!</v>
      </c>
      <c r="F35" s="386">
        <f>F31+F32</f>
        <v>0</v>
      </c>
      <c r="G35" s="386" t="e">
        <f>0.2*E35</f>
        <v>#VALUE!</v>
      </c>
      <c r="H35" s="386" t="e">
        <f>E35+G35</f>
        <v>#VALUE!</v>
      </c>
      <c r="I35" s="386" t="e">
        <f>I31+I32</f>
        <v>#VALUE!</v>
      </c>
      <c r="J35" s="386" t="e">
        <f>J31+J32</f>
        <v>#VALUE!</v>
      </c>
    </row>
  </sheetData>
  <sheetProtection/>
  <printOptions/>
  <pageMargins left="0.2" right="0.19" top="0.7874015748031497" bottom="0.7874015748031497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'[8]Krycí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'[8]Krycí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'[8]Krycí list'!E9</f>
        <v>SO 01 Stoka RA - monitoring objektů</v>
      </c>
      <c r="C4" s="301"/>
      <c r="D4" s="299"/>
      <c r="E4" s="302"/>
    </row>
    <row r="5" spans="1:5" ht="12" customHeight="1">
      <c r="A5" s="299" t="s">
        <v>227</v>
      </c>
      <c r="B5" s="299" t="str">
        <f>'[8]Krycí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'[8]Krycí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'[8]Krycí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'[8]Rozpocet'!D14</f>
        <v>HSV</v>
      </c>
      <c r="B14" s="315" t="str">
        <f>'[8]Rozpocet'!E14</f>
        <v>HSV</v>
      </c>
      <c r="C14" s="316">
        <f>'[8]Rozpocet'!I14</f>
        <v>1260000</v>
      </c>
      <c r="D14" s="317">
        <f>'[8]Rozpocet'!K14</f>
        <v>0</v>
      </c>
      <c r="E14" s="317">
        <f>'[8]Rozpocet'!M14</f>
        <v>0</v>
      </c>
    </row>
    <row r="15" spans="1:5" s="318" customFormat="1" ht="12.75" customHeight="1">
      <c r="A15" s="319" t="str">
        <f>'[8]Rozpocet'!D15</f>
        <v>001</v>
      </c>
      <c r="B15" s="320" t="str">
        <f>'[8]Rozpocet'!E15</f>
        <v>Monitoring objektů</v>
      </c>
      <c r="C15" s="321">
        <f>'[8]Rozpocet'!I15</f>
        <v>1260000</v>
      </c>
      <c r="D15" s="322">
        <f>'[8]Rozpocet'!K15</f>
        <v>0</v>
      </c>
      <c r="E15" s="322">
        <f>'[8]Rozpocet'!M15</f>
        <v>0</v>
      </c>
    </row>
    <row r="16" spans="2:5" s="323" customFormat="1" ht="12.75" customHeight="1">
      <c r="B16" s="324" t="s">
        <v>124</v>
      </c>
      <c r="C16" s="325">
        <f>'[8]Rozpocet'!I17</f>
        <v>1260000</v>
      </c>
      <c r="D16" s="326">
        <f>'[8]Rozpocet'!K17</f>
        <v>0</v>
      </c>
      <c r="E16" s="326">
        <f>'[8]Rozpocet'!M17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V37" sqref="V37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452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104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337" t="s">
        <v>215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1" t="s">
        <v>215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>
        <v>1630761.03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170633.7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>
        <v>4488197.91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>
        <v>306018.52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>
        <v>684760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>
        <v>0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>
        <v>0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>
        <v>0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>
        <f>SUM(E38:E43)</f>
        <v>7109737.460000001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>
        <f>SUM(R38:R43)+J45</f>
        <v>254684.53000000003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>
        <v>0</v>
      </c>
      <c r="F45" s="223"/>
      <c r="G45" s="267">
        <v>21</v>
      </c>
      <c r="H45" s="268" t="s">
        <v>193</v>
      </c>
      <c r="I45" s="270"/>
      <c r="J45" s="272">
        <v>84050.83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>
        <v>0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>
        <f>ROUND(E44+R44+E45+R45,2)</f>
        <v>7364421.99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>
        <f>R47-O49</f>
        <v>0</v>
      </c>
      <c r="P48" s="217" t="s">
        <v>8</v>
      </c>
      <c r="Q48" s="215"/>
      <c r="R48" s="282">
        <f>ROUNDUP(O48*M48/100,2)</f>
        <v>0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>
        <v>7364421.99</v>
      </c>
      <c r="P49" s="217" t="s">
        <v>8</v>
      </c>
      <c r="Q49" s="215"/>
      <c r="R49" s="252">
        <f>ROUNDUP(O49*M49/100,2)</f>
        <v>1399240.18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>
        <f>R47+R48+R49</f>
        <v>8763662.17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">
        <v>2</v>
      </c>
      <c r="C2" s="300"/>
      <c r="D2" s="300"/>
      <c r="E2" s="300"/>
    </row>
    <row r="3" spans="1:5" ht="12" customHeight="1">
      <c r="A3" s="298" t="s">
        <v>225</v>
      </c>
      <c r="B3" s="299" t="s">
        <v>452</v>
      </c>
      <c r="C3" s="301"/>
      <c r="D3" s="299"/>
      <c r="E3" s="302"/>
    </row>
    <row r="4" spans="1:5" ht="12" customHeight="1">
      <c r="A4" s="298" t="s">
        <v>226</v>
      </c>
      <c r="B4" s="299" t="s">
        <v>215</v>
      </c>
      <c r="C4" s="301"/>
      <c r="D4" s="299"/>
      <c r="E4" s="302"/>
    </row>
    <row r="5" spans="1:5" ht="12" customHeight="1">
      <c r="A5" s="299" t="s">
        <v>227</v>
      </c>
      <c r="B5" s="299" t="s">
        <v>215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">
        <v>215</v>
      </c>
      <c r="C7" s="301"/>
      <c r="D7" s="299"/>
      <c r="E7" s="302"/>
    </row>
    <row r="8" spans="1:5" ht="12" customHeight="1">
      <c r="A8" s="299" t="s">
        <v>12</v>
      </c>
      <c r="B8" s="299" t="s">
        <v>215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">
        <v>155</v>
      </c>
      <c r="B14" s="315" t="s">
        <v>243</v>
      </c>
      <c r="C14" s="316">
        <v>6118958.9399999995</v>
      </c>
      <c r="D14" s="317">
        <v>529.84601556</v>
      </c>
      <c r="E14" s="317">
        <v>82.008</v>
      </c>
    </row>
    <row r="15" spans="1:5" s="318" customFormat="1" ht="12.75" customHeight="1">
      <c r="A15" s="319" t="s">
        <v>154</v>
      </c>
      <c r="B15" s="320" t="s">
        <v>245</v>
      </c>
      <c r="C15" s="321">
        <v>2235413.73</v>
      </c>
      <c r="D15" s="322">
        <v>344.73993</v>
      </c>
      <c r="E15" s="322">
        <v>82.008</v>
      </c>
    </row>
    <row r="16" spans="1:5" s="318" customFormat="1" ht="12.75" customHeight="1">
      <c r="A16" s="319" t="s">
        <v>358</v>
      </c>
      <c r="B16" s="320" t="s">
        <v>359</v>
      </c>
      <c r="C16" s="321">
        <v>2077125</v>
      </c>
      <c r="D16" s="322">
        <v>7.0029</v>
      </c>
      <c r="E16" s="322">
        <v>0</v>
      </c>
    </row>
    <row r="17" spans="1:5" s="318" customFormat="1" ht="12.75" customHeight="1">
      <c r="A17" s="319" t="s">
        <v>161</v>
      </c>
      <c r="B17" s="320" t="s">
        <v>271</v>
      </c>
      <c r="C17" s="321">
        <v>1004953.5399999999</v>
      </c>
      <c r="D17" s="322">
        <v>59.730264999999996</v>
      </c>
      <c r="E17" s="322">
        <v>0</v>
      </c>
    </row>
    <row r="18" spans="1:5" s="318" customFormat="1" ht="12.75" customHeight="1">
      <c r="A18" s="319" t="s">
        <v>167</v>
      </c>
      <c r="B18" s="320" t="s">
        <v>413</v>
      </c>
      <c r="C18" s="321">
        <v>458572.48</v>
      </c>
      <c r="D18" s="322">
        <v>5.41639556</v>
      </c>
      <c r="E18" s="322">
        <v>0</v>
      </c>
    </row>
    <row r="19" spans="1:5" s="318" customFormat="1" ht="12.75" customHeight="1">
      <c r="A19" s="319" t="s">
        <v>177</v>
      </c>
      <c r="B19" s="320" t="s">
        <v>279</v>
      </c>
      <c r="C19" s="321">
        <v>240295.5</v>
      </c>
      <c r="D19" s="322">
        <v>91.7565</v>
      </c>
      <c r="E19" s="322">
        <v>0</v>
      </c>
    </row>
    <row r="20" spans="1:5" s="318" customFormat="1" ht="12.75" customHeight="1">
      <c r="A20" s="319" t="s">
        <v>181</v>
      </c>
      <c r="B20" s="320" t="s">
        <v>486</v>
      </c>
      <c r="C20" s="321">
        <v>11586.72</v>
      </c>
      <c r="D20" s="322">
        <v>21.074064</v>
      </c>
      <c r="E20" s="322">
        <v>0</v>
      </c>
    </row>
    <row r="21" spans="1:5" s="318" customFormat="1" ht="12.75" customHeight="1">
      <c r="A21" s="319" t="s">
        <v>157</v>
      </c>
      <c r="B21" s="320" t="s">
        <v>285</v>
      </c>
      <c r="C21" s="321">
        <v>7296.3</v>
      </c>
      <c r="D21" s="322">
        <v>0.125961</v>
      </c>
      <c r="E21" s="322">
        <v>0</v>
      </c>
    </row>
    <row r="22" spans="1:5" s="318" customFormat="1" ht="12.75" customHeight="1">
      <c r="A22" s="319" t="s">
        <v>300</v>
      </c>
      <c r="B22" s="320" t="s">
        <v>301</v>
      </c>
      <c r="C22" s="321">
        <v>83715.67</v>
      </c>
      <c r="D22" s="322">
        <v>0</v>
      </c>
      <c r="E22" s="322">
        <v>0</v>
      </c>
    </row>
    <row r="23" spans="1:5" s="318" customFormat="1" ht="12.75" customHeight="1">
      <c r="A23" s="314" t="s">
        <v>168</v>
      </c>
      <c r="B23" s="315" t="s">
        <v>489</v>
      </c>
      <c r="C23" s="316">
        <v>990778.52</v>
      </c>
      <c r="D23" s="317">
        <v>13.04116</v>
      </c>
      <c r="E23" s="317">
        <v>11.408</v>
      </c>
    </row>
    <row r="24" spans="1:5" s="318" customFormat="1" ht="12.75" customHeight="1">
      <c r="A24" s="319" t="s">
        <v>490</v>
      </c>
      <c r="B24" s="320" t="s">
        <v>491</v>
      </c>
      <c r="C24" s="321">
        <v>990778.52</v>
      </c>
      <c r="D24" s="322">
        <v>13.04116</v>
      </c>
      <c r="E24" s="322">
        <v>11.408</v>
      </c>
    </row>
    <row r="25" spans="2:5" s="323" customFormat="1" ht="12.75" customHeight="1">
      <c r="B25" s="324" t="s">
        <v>124</v>
      </c>
      <c r="C25" s="325">
        <v>7109737.459999999</v>
      </c>
      <c r="D25" s="326">
        <v>542.88717556</v>
      </c>
      <c r="E25" s="326">
        <v>93.416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6" sqref="A36:IV36"/>
      <selection pane="bottomLeft" activeCell="A36" sqref="A36:IV36"/>
    </sheetView>
  </sheetViews>
  <sheetFormatPr defaultColWidth="9.140625" defaultRowHeight="11.25" customHeight="1"/>
  <cols>
    <col min="1" max="1" width="10.0039062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8.7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">
        <v>452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">
        <v>215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">
        <v>215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H15+H39+H43+H54+H59+H62+H64+H66</f>
        <v>0</v>
      </c>
      <c r="I14" s="446"/>
      <c r="J14" s="448" t="e">
        <f>J15+#REF!+J25+J34+#REF!+#REF!+#REF!+#REF!</f>
        <v>#REF!</v>
      </c>
      <c r="K14" s="446"/>
      <c r="L14" s="448" t="e">
        <f>L15+#REF!+L25+L34+#REF!+#REF!+#REF!+#REF!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SUM(H16:H38)</f>
        <v>0</v>
      </c>
      <c r="I15" s="446"/>
      <c r="J15" s="448">
        <f>SUM(J16:J24)</f>
        <v>352.67472</v>
      </c>
      <c r="K15" s="446"/>
      <c r="L15" s="448">
        <f>SUM(L16:L24)</f>
        <v>82.008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9</v>
      </c>
      <c r="C16" s="420" t="s">
        <v>833</v>
      </c>
      <c r="D16" s="451" t="s">
        <v>453</v>
      </c>
      <c r="E16" s="400" t="s">
        <v>247</v>
      </c>
      <c r="F16" s="401">
        <v>201</v>
      </c>
      <c r="G16" s="402"/>
      <c r="H16" s="402">
        <f aca="true" t="shared" si="0" ref="H16:H25">ROUND(F16*G16,2)</f>
        <v>0</v>
      </c>
      <c r="I16" s="449">
        <v>0</v>
      </c>
      <c r="J16" s="401">
        <f aca="true" t="shared" si="1" ref="J16:J24">F16*I16</f>
        <v>0</v>
      </c>
      <c r="K16" s="449">
        <v>0.408</v>
      </c>
      <c r="L16" s="401">
        <f aca="true" t="shared" si="2" ref="L16:L24">F16*K16</f>
        <v>82.008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3">
        <v>9</v>
      </c>
      <c r="C17" s="420" t="s">
        <v>834</v>
      </c>
      <c r="D17" s="451" t="s">
        <v>454</v>
      </c>
      <c r="E17" s="400" t="s">
        <v>252</v>
      </c>
      <c r="F17" s="401">
        <v>1464</v>
      </c>
      <c r="G17" s="402"/>
      <c r="H17" s="402">
        <f t="shared" si="0"/>
        <v>0</v>
      </c>
      <c r="I17" s="449">
        <v>0.04143</v>
      </c>
      <c r="J17" s="401">
        <f t="shared" si="1"/>
        <v>60.65352</v>
      </c>
      <c r="K17" s="449">
        <v>0</v>
      </c>
      <c r="L17" s="401">
        <f t="shared" si="2"/>
        <v>0</v>
      </c>
      <c r="M17" s="450">
        <f aca="true" t="shared" si="3" ref="M17:M31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3">
        <v>9</v>
      </c>
      <c r="C18" s="420" t="s">
        <v>835</v>
      </c>
      <c r="D18" s="451" t="s">
        <v>455</v>
      </c>
      <c r="E18" s="400" t="s">
        <v>254</v>
      </c>
      <c r="F18" s="401">
        <v>61</v>
      </c>
      <c r="G18" s="402"/>
      <c r="H18" s="402">
        <f t="shared" si="0"/>
        <v>0</v>
      </c>
      <c r="I18" s="449">
        <v>1</v>
      </c>
      <c r="J18" s="401">
        <f t="shared" si="1"/>
        <v>61</v>
      </c>
      <c r="K18" s="449">
        <v>0</v>
      </c>
      <c r="L18" s="401">
        <f t="shared" si="2"/>
        <v>0</v>
      </c>
      <c r="M18" s="450">
        <f t="shared" si="3"/>
        <v>21</v>
      </c>
      <c r="N18" s="336">
        <v>8</v>
      </c>
      <c r="O18" s="335" t="s">
        <v>161</v>
      </c>
    </row>
    <row r="19" spans="1:15" s="196" customFormat="1" ht="13.5" customHeight="1">
      <c r="A19" s="400" t="s">
        <v>173</v>
      </c>
      <c r="B19" s="408">
        <v>9</v>
      </c>
      <c r="C19" s="420" t="s">
        <v>836</v>
      </c>
      <c r="D19" s="451" t="s">
        <v>456</v>
      </c>
      <c r="E19" s="400" t="s">
        <v>258</v>
      </c>
      <c r="F19" s="401">
        <v>230</v>
      </c>
      <c r="G19" s="402"/>
      <c r="H19" s="402">
        <f t="shared" si="0"/>
        <v>0</v>
      </c>
      <c r="I19" s="449">
        <v>0.00444</v>
      </c>
      <c r="J19" s="401">
        <f t="shared" si="1"/>
        <v>1.0212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9</v>
      </c>
      <c r="C20" s="420" t="s">
        <v>837</v>
      </c>
      <c r="D20" s="451" t="s">
        <v>457</v>
      </c>
      <c r="E20" s="400" t="s">
        <v>258</v>
      </c>
      <c r="F20" s="401">
        <v>230</v>
      </c>
      <c r="G20" s="402"/>
      <c r="H20" s="402">
        <f t="shared" si="0"/>
        <v>0</v>
      </c>
      <c r="I20" s="449">
        <v>1</v>
      </c>
      <c r="J20" s="401">
        <f t="shared" si="1"/>
        <v>230</v>
      </c>
      <c r="K20" s="449">
        <v>0</v>
      </c>
      <c r="L20" s="401">
        <f t="shared" si="2"/>
        <v>0</v>
      </c>
      <c r="M20" s="450">
        <f t="shared" si="3"/>
        <v>21</v>
      </c>
      <c r="N20" s="336">
        <v>8</v>
      </c>
      <c r="O20" s="335" t="s">
        <v>161</v>
      </c>
    </row>
    <row r="21" spans="1:15" s="196" customFormat="1" ht="13.5" customHeight="1">
      <c r="A21" s="400" t="s">
        <v>181</v>
      </c>
      <c r="B21" s="403">
        <v>9</v>
      </c>
      <c r="C21" s="420" t="s">
        <v>838</v>
      </c>
      <c r="D21" s="451" t="s">
        <v>458</v>
      </c>
      <c r="E21" s="400" t="s">
        <v>258</v>
      </c>
      <c r="F21" s="401">
        <v>49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24.75" customHeight="1">
      <c r="A22" s="400" t="s">
        <v>184</v>
      </c>
      <c r="B22" s="408">
        <v>9</v>
      </c>
      <c r="C22" s="420" t="s">
        <v>839</v>
      </c>
      <c r="D22" s="451" t="s">
        <v>459</v>
      </c>
      <c r="E22" s="400" t="s">
        <v>258</v>
      </c>
      <c r="F22" s="401">
        <v>63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3">
        <v>9</v>
      </c>
      <c r="C23" s="420" t="s">
        <v>840</v>
      </c>
      <c r="D23" s="451" t="s">
        <v>460</v>
      </c>
      <c r="E23" s="400" t="s">
        <v>247</v>
      </c>
      <c r="F23" s="401">
        <v>108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9</v>
      </c>
      <c r="C24" s="420" t="s">
        <v>841</v>
      </c>
      <c r="D24" s="451" t="s">
        <v>461</v>
      </c>
      <c r="E24" s="400" t="s">
        <v>268</v>
      </c>
      <c r="F24" s="401">
        <v>7.358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318" customFormat="1" ht="13.5" customHeight="1">
      <c r="A25" s="400" t="s">
        <v>169</v>
      </c>
      <c r="B25" s="408">
        <v>9</v>
      </c>
      <c r="C25" s="420" t="s">
        <v>842</v>
      </c>
      <c r="D25" s="451" t="s">
        <v>462</v>
      </c>
      <c r="E25" s="400" t="s">
        <v>247</v>
      </c>
      <c r="F25" s="401">
        <v>117</v>
      </c>
      <c r="G25" s="402"/>
      <c r="H25" s="402">
        <f t="shared" si="0"/>
        <v>0</v>
      </c>
      <c r="I25" s="446"/>
      <c r="J25" s="448">
        <f>SUM(J26:J33)</f>
        <v>9798.86959473</v>
      </c>
      <c r="K25" s="446"/>
      <c r="L25" s="448">
        <f>SUM(L26:L33)</f>
        <v>0</v>
      </c>
      <c r="M25" s="450">
        <f t="shared" si="3"/>
        <v>21</v>
      </c>
      <c r="O25" s="320" t="s">
        <v>154</v>
      </c>
    </row>
    <row r="26" spans="1:15" s="196" customFormat="1" ht="13.5" customHeight="1">
      <c r="A26" s="400" t="s">
        <v>174</v>
      </c>
      <c r="B26" s="403">
        <v>9</v>
      </c>
      <c r="C26" s="420" t="s">
        <v>843</v>
      </c>
      <c r="D26" s="451" t="s">
        <v>463</v>
      </c>
      <c r="E26" s="400" t="s">
        <v>247</v>
      </c>
      <c r="F26" s="401">
        <v>108</v>
      </c>
      <c r="G26" s="402"/>
      <c r="H26" s="402">
        <f aca="true" t="shared" si="4" ref="H26:H37">ROUND(F26*G26,2)</f>
        <v>0</v>
      </c>
      <c r="I26" s="449">
        <v>1</v>
      </c>
      <c r="J26" s="401">
        <f aca="true" t="shared" si="5" ref="J26:J33">F26*I26</f>
        <v>108</v>
      </c>
      <c r="K26" s="449">
        <v>0</v>
      </c>
      <c r="L26" s="401">
        <f aca="true" t="shared" si="6" ref="L26:L33">F26*K26</f>
        <v>0</v>
      </c>
      <c r="M26" s="450">
        <f t="shared" si="3"/>
        <v>21</v>
      </c>
      <c r="N26" s="336">
        <v>8</v>
      </c>
      <c r="O26" s="335" t="s">
        <v>161</v>
      </c>
    </row>
    <row r="27" spans="1:15" s="196" customFormat="1" ht="13.5" customHeight="1">
      <c r="A27" s="400" t="s">
        <v>186</v>
      </c>
      <c r="B27" s="408">
        <v>9</v>
      </c>
      <c r="C27" s="420" t="s">
        <v>844</v>
      </c>
      <c r="D27" s="451" t="s">
        <v>464</v>
      </c>
      <c r="E27" s="400" t="s">
        <v>247</v>
      </c>
      <c r="F27" s="401">
        <v>117</v>
      </c>
      <c r="G27" s="402"/>
      <c r="H27" s="402">
        <f t="shared" si="4"/>
        <v>0</v>
      </c>
      <c r="I27" s="449">
        <v>0</v>
      </c>
      <c r="J27" s="401">
        <f t="shared" si="5"/>
        <v>0</v>
      </c>
      <c r="K27" s="449">
        <v>0</v>
      </c>
      <c r="L27" s="401">
        <f t="shared" si="6"/>
        <v>0</v>
      </c>
      <c r="M27" s="450">
        <f t="shared" si="3"/>
        <v>21</v>
      </c>
      <c r="N27" s="334">
        <v>4</v>
      </c>
      <c r="O27" s="196" t="s">
        <v>161</v>
      </c>
    </row>
    <row r="28" spans="1:15" s="196" customFormat="1" ht="13.5" customHeight="1">
      <c r="A28" s="400" t="s">
        <v>159</v>
      </c>
      <c r="B28" s="403">
        <v>9</v>
      </c>
      <c r="C28" s="420" t="s">
        <v>845</v>
      </c>
      <c r="D28" s="451" t="s">
        <v>465</v>
      </c>
      <c r="E28" s="400" t="s">
        <v>247</v>
      </c>
      <c r="F28" s="401">
        <v>195</v>
      </c>
      <c r="G28" s="402"/>
      <c r="H28" s="402">
        <f t="shared" si="4"/>
        <v>0</v>
      </c>
      <c r="I28" s="449">
        <v>0.00306</v>
      </c>
      <c r="J28" s="401">
        <f t="shared" si="5"/>
        <v>0.5967</v>
      </c>
      <c r="K28" s="449">
        <v>0</v>
      </c>
      <c r="L28" s="401">
        <f t="shared" si="6"/>
        <v>0</v>
      </c>
      <c r="M28" s="450">
        <f t="shared" si="3"/>
        <v>21</v>
      </c>
      <c r="N28" s="334">
        <v>4</v>
      </c>
      <c r="O28" s="196" t="s">
        <v>161</v>
      </c>
    </row>
    <row r="29" spans="1:15" s="196" customFormat="1" ht="13.5" customHeight="1">
      <c r="A29" s="400" t="s">
        <v>165</v>
      </c>
      <c r="B29" s="408">
        <v>9</v>
      </c>
      <c r="C29" s="420" t="s">
        <v>841</v>
      </c>
      <c r="D29" s="451" t="s">
        <v>461</v>
      </c>
      <c r="E29" s="400" t="s">
        <v>268</v>
      </c>
      <c r="F29" s="401">
        <v>6.377</v>
      </c>
      <c r="G29" s="402"/>
      <c r="H29" s="402">
        <f t="shared" si="4"/>
        <v>0</v>
      </c>
      <c r="I29" s="449">
        <v>2.25634</v>
      </c>
      <c r="J29" s="401">
        <f t="shared" si="5"/>
        <v>14.388680179999998</v>
      </c>
      <c r="K29" s="449">
        <v>0</v>
      </c>
      <c r="L29" s="401">
        <f t="shared" si="6"/>
        <v>0</v>
      </c>
      <c r="M29" s="450">
        <f t="shared" si="3"/>
        <v>21</v>
      </c>
      <c r="N29" s="334">
        <v>4</v>
      </c>
      <c r="O29" s="196" t="s">
        <v>161</v>
      </c>
    </row>
    <row r="30" spans="1:15" s="196" customFormat="1" ht="13.5" customHeight="1">
      <c r="A30" s="400" t="s">
        <v>171</v>
      </c>
      <c r="B30" s="403">
        <v>9</v>
      </c>
      <c r="C30" s="420" t="s">
        <v>846</v>
      </c>
      <c r="D30" s="451" t="s">
        <v>466</v>
      </c>
      <c r="E30" s="400" t="s">
        <v>357</v>
      </c>
      <c r="F30" s="401">
        <v>3917</v>
      </c>
      <c r="G30" s="402"/>
      <c r="H30" s="402">
        <f t="shared" si="4"/>
        <v>0</v>
      </c>
      <c r="I30" s="449">
        <v>2.45329</v>
      </c>
      <c r="J30" s="401">
        <f t="shared" si="5"/>
        <v>9609.53693</v>
      </c>
      <c r="K30" s="449">
        <v>0</v>
      </c>
      <c r="L30" s="401">
        <f t="shared" si="6"/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8">
        <v>9</v>
      </c>
      <c r="C31" s="420" t="s">
        <v>847</v>
      </c>
      <c r="D31" s="451" t="s">
        <v>467</v>
      </c>
      <c r="E31" s="400" t="s">
        <v>268</v>
      </c>
      <c r="F31" s="401">
        <v>3.917</v>
      </c>
      <c r="G31" s="402"/>
      <c r="H31" s="402">
        <f t="shared" si="4"/>
        <v>0</v>
      </c>
      <c r="I31" s="449">
        <v>0.00115</v>
      </c>
      <c r="J31" s="401">
        <f t="shared" si="5"/>
        <v>0.0045045499999999995</v>
      </c>
      <c r="K31" s="449">
        <v>0</v>
      </c>
      <c r="L31" s="401">
        <f t="shared" si="6"/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13.5" customHeight="1">
      <c r="A32" s="400" t="s">
        <v>179</v>
      </c>
      <c r="B32" s="403">
        <v>9</v>
      </c>
      <c r="C32" s="420" t="s">
        <v>848</v>
      </c>
      <c r="D32" s="451" t="s">
        <v>468</v>
      </c>
      <c r="E32" s="400" t="s">
        <v>258</v>
      </c>
      <c r="F32" s="401">
        <v>293</v>
      </c>
      <c r="G32" s="402"/>
      <c r="H32" s="402">
        <f t="shared" si="4"/>
        <v>0</v>
      </c>
      <c r="I32" s="449">
        <v>0</v>
      </c>
      <c r="J32" s="401">
        <f t="shared" si="5"/>
        <v>0</v>
      </c>
      <c r="K32" s="449">
        <v>0</v>
      </c>
      <c r="L32" s="401">
        <f t="shared" si="6"/>
        <v>0</v>
      </c>
      <c r="M32" s="450">
        <f aca="true" t="shared" si="7" ref="M32:M37">$M$16</f>
        <v>21</v>
      </c>
      <c r="N32" s="334">
        <v>4</v>
      </c>
      <c r="O32" s="196" t="s">
        <v>161</v>
      </c>
    </row>
    <row r="33" spans="1:15" s="196" customFormat="1" ht="13.5" customHeight="1">
      <c r="A33" s="400" t="s">
        <v>182</v>
      </c>
      <c r="B33" s="408">
        <v>9</v>
      </c>
      <c r="C33" s="420" t="s">
        <v>849</v>
      </c>
      <c r="D33" s="451" t="s">
        <v>469</v>
      </c>
      <c r="E33" s="400" t="s">
        <v>258</v>
      </c>
      <c r="F33" s="401">
        <v>63</v>
      </c>
      <c r="G33" s="402"/>
      <c r="H33" s="402">
        <f t="shared" si="4"/>
        <v>0</v>
      </c>
      <c r="I33" s="449">
        <v>1.05306</v>
      </c>
      <c r="J33" s="401">
        <f t="shared" si="5"/>
        <v>66.34278</v>
      </c>
      <c r="K33" s="449">
        <v>0</v>
      </c>
      <c r="L33" s="401">
        <f t="shared" si="6"/>
        <v>0</v>
      </c>
      <c r="M33" s="450">
        <f t="shared" si="7"/>
        <v>21</v>
      </c>
      <c r="N33" s="334">
        <v>4</v>
      </c>
      <c r="O33" s="196" t="s">
        <v>161</v>
      </c>
    </row>
    <row r="34" spans="1:15" s="318" customFormat="1" ht="24.75" customHeight="1">
      <c r="A34" s="400" t="s">
        <v>188</v>
      </c>
      <c r="B34" s="403">
        <v>9</v>
      </c>
      <c r="C34" s="420" t="s">
        <v>850</v>
      </c>
      <c r="D34" s="451" t="s">
        <v>470</v>
      </c>
      <c r="E34" s="400" t="s">
        <v>258</v>
      </c>
      <c r="F34" s="401">
        <v>63</v>
      </c>
      <c r="G34" s="402"/>
      <c r="H34" s="402">
        <f t="shared" si="4"/>
        <v>0</v>
      </c>
      <c r="I34" s="446"/>
      <c r="J34" s="448">
        <f>SUM(J35:J37)</f>
        <v>413.29152999999997</v>
      </c>
      <c r="K34" s="446"/>
      <c r="L34" s="448">
        <f>SUM(L35:L37)</f>
        <v>0</v>
      </c>
      <c r="M34" s="450">
        <f t="shared" si="7"/>
        <v>21</v>
      </c>
      <c r="O34" s="320" t="s">
        <v>154</v>
      </c>
    </row>
    <row r="35" spans="1:15" s="196" customFormat="1" ht="24.75" customHeight="1">
      <c r="A35" s="400" t="s">
        <v>190</v>
      </c>
      <c r="B35" s="408">
        <v>9</v>
      </c>
      <c r="C35" s="420" t="s">
        <v>771</v>
      </c>
      <c r="D35" s="451" t="s">
        <v>431</v>
      </c>
      <c r="E35" s="400" t="s">
        <v>258</v>
      </c>
      <c r="F35" s="401">
        <v>293</v>
      </c>
      <c r="G35" s="402"/>
      <c r="H35" s="402">
        <f t="shared" si="4"/>
        <v>0</v>
      </c>
      <c r="I35" s="449">
        <v>0.32711</v>
      </c>
      <c r="J35" s="401">
        <f>F35*I35</f>
        <v>95.84323</v>
      </c>
      <c r="K35" s="449">
        <v>0</v>
      </c>
      <c r="L35" s="401">
        <f>F35*K35</f>
        <v>0</v>
      </c>
      <c r="M35" s="450">
        <f t="shared" si="7"/>
        <v>21</v>
      </c>
      <c r="N35" s="334">
        <v>4</v>
      </c>
      <c r="O35" s="196" t="s">
        <v>161</v>
      </c>
    </row>
    <row r="36" spans="1:15" s="196" customFormat="1" ht="13.5" customHeight="1">
      <c r="A36" s="400" t="s">
        <v>192</v>
      </c>
      <c r="B36" s="403">
        <v>9</v>
      </c>
      <c r="C36" s="420" t="s">
        <v>772</v>
      </c>
      <c r="D36" s="451" t="s">
        <v>264</v>
      </c>
      <c r="E36" s="400" t="s">
        <v>258</v>
      </c>
      <c r="F36" s="401">
        <v>293</v>
      </c>
      <c r="G36" s="402"/>
      <c r="H36" s="402">
        <f t="shared" si="4"/>
        <v>0</v>
      </c>
      <c r="I36" s="449">
        <v>0</v>
      </c>
      <c r="J36" s="401">
        <f>F36*I36</f>
        <v>0</v>
      </c>
      <c r="K36" s="449">
        <v>0</v>
      </c>
      <c r="L36" s="401">
        <f>F36*K36</f>
        <v>0</v>
      </c>
      <c r="M36" s="450">
        <f t="shared" si="7"/>
        <v>21</v>
      </c>
      <c r="N36" s="334">
        <v>4</v>
      </c>
      <c r="O36" s="196" t="s">
        <v>161</v>
      </c>
    </row>
    <row r="37" spans="1:15" s="196" customFormat="1" ht="13.5" customHeight="1">
      <c r="A37" s="400" t="s">
        <v>194</v>
      </c>
      <c r="B37" s="408">
        <v>9</v>
      </c>
      <c r="C37" s="420" t="s">
        <v>774</v>
      </c>
      <c r="D37" s="451" t="s">
        <v>265</v>
      </c>
      <c r="E37" s="400" t="s">
        <v>258</v>
      </c>
      <c r="F37" s="401">
        <v>230</v>
      </c>
      <c r="G37" s="402"/>
      <c r="H37" s="402">
        <f t="shared" si="4"/>
        <v>0</v>
      </c>
      <c r="I37" s="449">
        <v>1.38021</v>
      </c>
      <c r="J37" s="401">
        <f>F37*I37</f>
        <v>317.44829999999996</v>
      </c>
      <c r="K37" s="449">
        <v>0</v>
      </c>
      <c r="L37" s="401">
        <f>F37*K37</f>
        <v>0</v>
      </c>
      <c r="M37" s="450">
        <f t="shared" si="7"/>
        <v>21</v>
      </c>
      <c r="N37" s="334">
        <v>4</v>
      </c>
      <c r="O37" s="196" t="s">
        <v>161</v>
      </c>
    </row>
    <row r="38" spans="1:15" s="196" customFormat="1" ht="13.5" customHeight="1">
      <c r="A38" s="400" t="s">
        <v>198</v>
      </c>
      <c r="B38" s="408">
        <v>9</v>
      </c>
      <c r="C38" s="420" t="s">
        <v>775</v>
      </c>
      <c r="D38" s="451" t="s">
        <v>471</v>
      </c>
      <c r="E38" s="400" t="s">
        <v>268</v>
      </c>
      <c r="F38" s="401">
        <v>322</v>
      </c>
      <c r="G38" s="402"/>
      <c r="H38" s="402">
        <f>ROUND(F38*G38,2)</f>
        <v>0</v>
      </c>
      <c r="I38" s="449">
        <v>1.837</v>
      </c>
      <c r="J38" s="401">
        <f>F38*I38</f>
        <v>591.514</v>
      </c>
      <c r="K38" s="449">
        <v>0</v>
      </c>
      <c r="L38" s="401">
        <f>F38*K38</f>
        <v>0</v>
      </c>
      <c r="M38" s="450">
        <f>$M$16</f>
        <v>21</v>
      </c>
      <c r="N38" s="334">
        <v>4</v>
      </c>
      <c r="O38" s="196" t="s">
        <v>161</v>
      </c>
    </row>
    <row r="39" spans="1:15" s="318" customFormat="1" ht="13.5" customHeight="1">
      <c r="A39" s="446"/>
      <c r="B39" s="408"/>
      <c r="C39" s="446" t="s">
        <v>358</v>
      </c>
      <c r="D39" s="446" t="s">
        <v>359</v>
      </c>
      <c r="E39" s="446"/>
      <c r="F39" s="446"/>
      <c r="G39" s="446"/>
      <c r="H39" s="447">
        <f>SUM(H40:H42)</f>
        <v>0</v>
      </c>
      <c r="I39" s="446"/>
      <c r="J39" s="448">
        <f>SUM(J40:J44)</f>
        <v>95.0033</v>
      </c>
      <c r="K39" s="446"/>
      <c r="L39" s="448">
        <f>SUM(L40:L44)</f>
        <v>0.03</v>
      </c>
      <c r="M39" s="450"/>
      <c r="O39" s="320" t="s">
        <v>154</v>
      </c>
    </row>
    <row r="40" spans="1:15" s="196" customFormat="1" ht="24.75" customHeight="1">
      <c r="A40" s="400" t="s">
        <v>202</v>
      </c>
      <c r="B40" s="403">
        <v>9</v>
      </c>
      <c r="C40" s="420" t="s">
        <v>851</v>
      </c>
      <c r="D40" s="451" t="s">
        <v>472</v>
      </c>
      <c r="E40" s="400" t="s">
        <v>256</v>
      </c>
      <c r="F40" s="401">
        <v>30</v>
      </c>
      <c r="G40" s="402"/>
      <c r="H40" s="402">
        <f>ROUND(F40*G40,2)</f>
        <v>0</v>
      </c>
      <c r="I40" s="449">
        <v>6E-05</v>
      </c>
      <c r="J40" s="401">
        <f>F40*I40</f>
        <v>0.0018</v>
      </c>
      <c r="K40" s="449">
        <v>0</v>
      </c>
      <c r="L40" s="401">
        <f>F40*K40</f>
        <v>0</v>
      </c>
      <c r="M40" s="450">
        <f>$M$16</f>
        <v>21</v>
      </c>
      <c r="N40" s="334">
        <v>16</v>
      </c>
      <c r="O40" s="196" t="s">
        <v>161</v>
      </c>
    </row>
    <row r="41" spans="1:15" s="196" customFormat="1" ht="13.5" customHeight="1">
      <c r="A41" s="400" t="s">
        <v>204</v>
      </c>
      <c r="B41" s="408">
        <v>9</v>
      </c>
      <c r="C41" s="420" t="s">
        <v>852</v>
      </c>
      <c r="D41" s="451" t="s">
        <v>473</v>
      </c>
      <c r="E41" s="400" t="s">
        <v>256</v>
      </c>
      <c r="F41" s="401">
        <v>30</v>
      </c>
      <c r="G41" s="402"/>
      <c r="H41" s="402">
        <f>ROUND(F41*G41,2)</f>
        <v>0</v>
      </c>
      <c r="I41" s="449">
        <v>1</v>
      </c>
      <c r="J41" s="401">
        <f>F41*I41</f>
        <v>30</v>
      </c>
      <c r="K41" s="449">
        <v>0</v>
      </c>
      <c r="L41" s="401">
        <f>F41*K41</f>
        <v>0</v>
      </c>
      <c r="M41" s="450">
        <f>$M$16</f>
        <v>21</v>
      </c>
      <c r="N41" s="336">
        <v>32</v>
      </c>
      <c r="O41" s="335" t="s">
        <v>161</v>
      </c>
    </row>
    <row r="42" spans="1:15" s="196" customFormat="1" ht="13.5" customHeight="1">
      <c r="A42" s="400" t="s">
        <v>205</v>
      </c>
      <c r="B42" s="403">
        <v>9</v>
      </c>
      <c r="C42" s="420" t="s">
        <v>783</v>
      </c>
      <c r="D42" s="451" t="s">
        <v>363</v>
      </c>
      <c r="E42" s="400" t="s">
        <v>258</v>
      </c>
      <c r="F42" s="401">
        <v>65</v>
      </c>
      <c r="G42" s="402"/>
      <c r="H42" s="402">
        <f>ROUND(F42*G42,2)</f>
        <v>0</v>
      </c>
      <c r="I42" s="449">
        <v>1</v>
      </c>
      <c r="J42" s="401">
        <f>F42*I42</f>
        <v>65</v>
      </c>
      <c r="K42" s="449">
        <v>0</v>
      </c>
      <c r="L42" s="401">
        <f>F42*K42</f>
        <v>0</v>
      </c>
      <c r="M42" s="450">
        <f>$M$16</f>
        <v>21</v>
      </c>
      <c r="N42" s="336">
        <v>32</v>
      </c>
      <c r="O42" s="335" t="s">
        <v>161</v>
      </c>
    </row>
    <row r="43" spans="1:15" s="196" customFormat="1" ht="13.5" customHeight="1">
      <c r="A43" s="446"/>
      <c r="B43" s="403"/>
      <c r="C43" s="446" t="s">
        <v>161</v>
      </c>
      <c r="D43" s="446" t="s">
        <v>271</v>
      </c>
      <c r="E43" s="446"/>
      <c r="F43" s="446"/>
      <c r="G43" s="446"/>
      <c r="H43" s="447">
        <f>SUM(H44:H53)</f>
        <v>0</v>
      </c>
      <c r="I43" s="449">
        <v>1</v>
      </c>
      <c r="J43" s="401">
        <f>F43*I43</f>
        <v>0</v>
      </c>
      <c r="K43" s="449">
        <v>0</v>
      </c>
      <c r="L43" s="401">
        <f>F43*K43</f>
        <v>0</v>
      </c>
      <c r="M43" s="450"/>
      <c r="N43" s="336">
        <v>32</v>
      </c>
      <c r="O43" s="335" t="s">
        <v>161</v>
      </c>
    </row>
    <row r="44" spans="1:15" s="196" customFormat="1" ht="24.75" customHeight="1">
      <c r="A44" s="400" t="s">
        <v>209</v>
      </c>
      <c r="B44" s="408">
        <v>9</v>
      </c>
      <c r="C44" s="420" t="s">
        <v>853</v>
      </c>
      <c r="D44" s="451" t="s">
        <v>474</v>
      </c>
      <c r="E44" s="400" t="s">
        <v>256</v>
      </c>
      <c r="F44" s="401">
        <v>30</v>
      </c>
      <c r="G44" s="402"/>
      <c r="H44" s="402">
        <f aca="true" t="shared" si="8" ref="H44:H53">ROUND(F44*G44,2)</f>
        <v>0</v>
      </c>
      <c r="I44" s="449">
        <v>5E-05</v>
      </c>
      <c r="J44" s="401">
        <f>F44*I44</f>
        <v>0.0015</v>
      </c>
      <c r="K44" s="449">
        <v>0.001</v>
      </c>
      <c r="L44" s="401">
        <f>F44*K44</f>
        <v>0.03</v>
      </c>
      <c r="M44" s="450">
        <f aca="true" t="shared" si="9" ref="M44:M53">$M$16</f>
        <v>21</v>
      </c>
      <c r="N44" s="334">
        <v>16</v>
      </c>
      <c r="O44" s="196" t="s">
        <v>161</v>
      </c>
    </row>
    <row r="45" spans="1:13" s="323" customFormat="1" ht="13.5" customHeight="1">
      <c r="A45" s="400" t="s">
        <v>211</v>
      </c>
      <c r="B45" s="403">
        <v>9</v>
      </c>
      <c r="C45" s="420" t="s">
        <v>854</v>
      </c>
      <c r="D45" s="451" t="s">
        <v>475</v>
      </c>
      <c r="E45" s="400" t="s">
        <v>247</v>
      </c>
      <c r="F45" s="401">
        <v>65.2</v>
      </c>
      <c r="G45" s="402"/>
      <c r="H45" s="402">
        <f t="shared" si="8"/>
        <v>0</v>
      </c>
      <c r="I45" s="399"/>
      <c r="J45" s="455" t="e">
        <f>J14+#REF!</f>
        <v>#REF!</v>
      </c>
      <c r="K45" s="399"/>
      <c r="L45" s="455" t="e">
        <f>L14+#REF!</f>
        <v>#REF!</v>
      </c>
      <c r="M45" s="450">
        <f t="shared" si="9"/>
        <v>21</v>
      </c>
    </row>
    <row r="46" spans="1:13" ht="13.5" customHeight="1">
      <c r="A46" s="400" t="s">
        <v>213</v>
      </c>
      <c r="B46" s="408">
        <v>9</v>
      </c>
      <c r="C46" s="420" t="s">
        <v>855</v>
      </c>
      <c r="D46" s="451" t="s">
        <v>476</v>
      </c>
      <c r="E46" s="400" t="s">
        <v>268</v>
      </c>
      <c r="F46" s="401">
        <v>8.369</v>
      </c>
      <c r="G46" s="402"/>
      <c r="H46" s="402">
        <f t="shared" si="8"/>
        <v>0</v>
      </c>
      <c r="I46" s="453"/>
      <c r="J46" s="453"/>
      <c r="K46" s="453"/>
      <c r="L46" s="453"/>
      <c r="M46" s="450">
        <f t="shared" si="9"/>
        <v>21</v>
      </c>
    </row>
    <row r="47" spans="1:13" ht="24.75" customHeight="1">
      <c r="A47" s="400" t="s">
        <v>287</v>
      </c>
      <c r="B47" s="403">
        <v>9</v>
      </c>
      <c r="C47" s="420" t="s">
        <v>856</v>
      </c>
      <c r="D47" s="451" t="s">
        <v>477</v>
      </c>
      <c r="E47" s="400" t="s">
        <v>247</v>
      </c>
      <c r="F47" s="401">
        <v>65.2</v>
      </c>
      <c r="G47" s="402"/>
      <c r="H47" s="402">
        <f t="shared" si="8"/>
        <v>0</v>
      </c>
      <c r="I47" s="453"/>
      <c r="J47" s="453"/>
      <c r="K47" s="453"/>
      <c r="L47" s="453"/>
      <c r="M47" s="450">
        <f t="shared" si="9"/>
        <v>21</v>
      </c>
    </row>
    <row r="48" spans="1:13" ht="13.5" customHeight="1">
      <c r="A48" s="400" t="s">
        <v>289</v>
      </c>
      <c r="B48" s="408">
        <v>9</v>
      </c>
      <c r="C48" s="420" t="s">
        <v>857</v>
      </c>
      <c r="D48" s="451" t="s">
        <v>478</v>
      </c>
      <c r="E48" s="400" t="s">
        <v>256</v>
      </c>
      <c r="F48" s="401">
        <v>20</v>
      </c>
      <c r="G48" s="402"/>
      <c r="H48" s="402">
        <f t="shared" si="8"/>
        <v>0</v>
      </c>
      <c r="I48" s="453"/>
      <c r="J48" s="453"/>
      <c r="K48" s="453"/>
      <c r="L48" s="453"/>
      <c r="M48" s="450">
        <f t="shared" si="9"/>
        <v>21</v>
      </c>
    </row>
    <row r="49" spans="1:13" ht="13.5" customHeight="1">
      <c r="A49" s="400" t="s">
        <v>292</v>
      </c>
      <c r="B49" s="403">
        <v>9</v>
      </c>
      <c r="C49" s="420" t="s">
        <v>815</v>
      </c>
      <c r="D49" s="451" t="s">
        <v>432</v>
      </c>
      <c r="E49" s="400" t="s">
        <v>258</v>
      </c>
      <c r="F49" s="401">
        <v>7</v>
      </c>
      <c r="G49" s="402"/>
      <c r="H49" s="402">
        <f t="shared" si="8"/>
        <v>0</v>
      </c>
      <c r="I49" s="453"/>
      <c r="J49" s="453"/>
      <c r="K49" s="453"/>
      <c r="L49" s="453"/>
      <c r="M49" s="450">
        <f t="shared" si="9"/>
        <v>21</v>
      </c>
    </row>
    <row r="50" spans="1:13" ht="13.5" customHeight="1">
      <c r="A50" s="400" t="s">
        <v>294</v>
      </c>
      <c r="B50" s="403">
        <v>9</v>
      </c>
      <c r="C50" s="420" t="s">
        <v>858</v>
      </c>
      <c r="D50" s="451" t="s">
        <v>479</v>
      </c>
      <c r="E50" s="400" t="s">
        <v>258</v>
      </c>
      <c r="F50" s="401">
        <v>11.5</v>
      </c>
      <c r="G50" s="402"/>
      <c r="H50" s="402">
        <f t="shared" si="8"/>
        <v>0</v>
      </c>
      <c r="I50" s="453"/>
      <c r="J50" s="453"/>
      <c r="K50" s="453"/>
      <c r="L50" s="453"/>
      <c r="M50" s="450">
        <f t="shared" si="9"/>
        <v>21</v>
      </c>
    </row>
    <row r="51" spans="1:13" ht="13.5" customHeight="1">
      <c r="A51" s="400" t="s">
        <v>296</v>
      </c>
      <c r="B51" s="408">
        <v>9</v>
      </c>
      <c r="C51" s="420" t="s">
        <v>816</v>
      </c>
      <c r="D51" s="451" t="s">
        <v>433</v>
      </c>
      <c r="E51" s="400" t="s">
        <v>247</v>
      </c>
      <c r="F51" s="401">
        <v>19.02</v>
      </c>
      <c r="G51" s="402"/>
      <c r="H51" s="402">
        <f t="shared" si="8"/>
        <v>0</v>
      </c>
      <c r="I51" s="453"/>
      <c r="J51" s="453"/>
      <c r="K51" s="453"/>
      <c r="L51" s="453"/>
      <c r="M51" s="450">
        <f t="shared" si="9"/>
        <v>21</v>
      </c>
    </row>
    <row r="52" spans="1:13" ht="13.5" customHeight="1">
      <c r="A52" s="400" t="s">
        <v>298</v>
      </c>
      <c r="B52" s="408">
        <v>9</v>
      </c>
      <c r="C52" s="420" t="s">
        <v>817</v>
      </c>
      <c r="D52" s="451" t="s">
        <v>434</v>
      </c>
      <c r="E52" s="400" t="s">
        <v>247</v>
      </c>
      <c r="F52" s="401">
        <v>19.02</v>
      </c>
      <c r="G52" s="402"/>
      <c r="H52" s="402">
        <f t="shared" si="8"/>
        <v>0</v>
      </c>
      <c r="I52" s="453"/>
      <c r="J52" s="453"/>
      <c r="K52" s="453"/>
      <c r="L52" s="453"/>
      <c r="M52" s="450">
        <f t="shared" si="9"/>
        <v>21</v>
      </c>
    </row>
    <row r="53" spans="1:13" ht="13.5" customHeight="1">
      <c r="A53" s="400" t="s">
        <v>302</v>
      </c>
      <c r="B53" s="403">
        <v>9</v>
      </c>
      <c r="C53" s="420" t="s">
        <v>818</v>
      </c>
      <c r="D53" s="451" t="s">
        <v>435</v>
      </c>
      <c r="E53" s="400" t="s">
        <v>268</v>
      </c>
      <c r="F53" s="401">
        <v>0.45</v>
      </c>
      <c r="G53" s="402"/>
      <c r="H53" s="402">
        <f t="shared" si="8"/>
        <v>0</v>
      </c>
      <c r="I53" s="453"/>
      <c r="J53" s="453"/>
      <c r="K53" s="453"/>
      <c r="L53" s="453"/>
      <c r="M53" s="450">
        <f t="shared" si="9"/>
        <v>21</v>
      </c>
    </row>
    <row r="54" spans="1:13" ht="13.5" customHeight="1">
      <c r="A54" s="446"/>
      <c r="B54" s="408"/>
      <c r="C54" s="446" t="s">
        <v>167</v>
      </c>
      <c r="D54" s="446" t="s">
        <v>413</v>
      </c>
      <c r="E54" s="446"/>
      <c r="F54" s="446"/>
      <c r="G54" s="446"/>
      <c r="H54" s="447">
        <f>SUM(H55:H58)</f>
        <v>0</v>
      </c>
      <c r="I54" s="453"/>
      <c r="J54" s="453"/>
      <c r="K54" s="453"/>
      <c r="L54" s="453"/>
      <c r="M54" s="450"/>
    </row>
    <row r="55" spans="1:13" ht="24.75" customHeight="1">
      <c r="A55" s="400" t="s">
        <v>307</v>
      </c>
      <c r="B55" s="403">
        <v>9</v>
      </c>
      <c r="C55" s="420" t="s">
        <v>859</v>
      </c>
      <c r="D55" s="451" t="s">
        <v>480</v>
      </c>
      <c r="E55" s="400" t="s">
        <v>247</v>
      </c>
      <c r="F55" s="401">
        <v>4.396</v>
      </c>
      <c r="G55" s="402"/>
      <c r="H55" s="402">
        <f>ROUND(F55*G55,2)</f>
        <v>0</v>
      </c>
      <c r="I55" s="453"/>
      <c r="J55" s="453"/>
      <c r="K55" s="453"/>
      <c r="L55" s="453"/>
      <c r="M55" s="450">
        <f>$M$16</f>
        <v>21</v>
      </c>
    </row>
    <row r="56" spans="1:13" ht="13.5" customHeight="1">
      <c r="A56" s="400" t="s">
        <v>310</v>
      </c>
      <c r="B56" s="408">
        <v>9</v>
      </c>
      <c r="C56" s="420" t="s">
        <v>860</v>
      </c>
      <c r="D56" s="451" t="s">
        <v>481</v>
      </c>
      <c r="E56" s="400" t="s">
        <v>247</v>
      </c>
      <c r="F56" s="401">
        <v>33</v>
      </c>
      <c r="G56" s="402"/>
      <c r="H56" s="402">
        <f>ROUND(F56*G56,2)</f>
        <v>0</v>
      </c>
      <c r="I56" s="453"/>
      <c r="J56" s="453"/>
      <c r="K56" s="453"/>
      <c r="L56" s="453"/>
      <c r="M56" s="450">
        <f>$M$16</f>
        <v>21</v>
      </c>
    </row>
    <row r="57" spans="1:13" ht="13.5" customHeight="1">
      <c r="A57" s="400" t="s">
        <v>322</v>
      </c>
      <c r="B57" s="408">
        <v>9</v>
      </c>
      <c r="C57" s="420" t="s">
        <v>861</v>
      </c>
      <c r="D57" s="451" t="s">
        <v>482</v>
      </c>
      <c r="E57" s="400" t="s">
        <v>256</v>
      </c>
      <c r="F57" s="401">
        <v>2</v>
      </c>
      <c r="G57" s="402"/>
      <c r="H57" s="402">
        <f>ROUND(F57*G57,2)</f>
        <v>0</v>
      </c>
      <c r="I57" s="453"/>
      <c r="J57" s="453"/>
      <c r="K57" s="453"/>
      <c r="L57" s="453"/>
      <c r="M57" s="450">
        <f>$M$16</f>
        <v>21</v>
      </c>
    </row>
    <row r="58" spans="1:13" ht="13.5" customHeight="1">
      <c r="A58" s="400" t="s">
        <v>324</v>
      </c>
      <c r="B58" s="408">
        <v>9</v>
      </c>
      <c r="C58" s="420" t="s">
        <v>862</v>
      </c>
      <c r="D58" s="451" t="s">
        <v>483</v>
      </c>
      <c r="E58" s="400" t="s">
        <v>317</v>
      </c>
      <c r="F58" s="401">
        <v>2</v>
      </c>
      <c r="G58" s="402"/>
      <c r="H58" s="402">
        <f>ROUND(F58*G58,2)</f>
        <v>0</v>
      </c>
      <c r="I58" s="453"/>
      <c r="J58" s="453"/>
      <c r="K58" s="453"/>
      <c r="L58" s="453"/>
      <c r="M58" s="450">
        <f>$M$16</f>
        <v>21</v>
      </c>
    </row>
    <row r="59" spans="1:13" ht="13.5" customHeight="1">
      <c r="A59" s="446"/>
      <c r="B59" s="403"/>
      <c r="C59" s="446" t="s">
        <v>177</v>
      </c>
      <c r="D59" s="446" t="s">
        <v>279</v>
      </c>
      <c r="E59" s="446"/>
      <c r="F59" s="446"/>
      <c r="G59" s="446"/>
      <c r="H59" s="447">
        <f>SUM(H60:H61)</f>
        <v>0</v>
      </c>
      <c r="I59" s="453"/>
      <c r="J59" s="453"/>
      <c r="K59" s="453"/>
      <c r="L59" s="453"/>
      <c r="M59" s="450"/>
    </row>
    <row r="60" spans="1:13" ht="13.5" customHeight="1">
      <c r="A60" s="400" t="s">
        <v>326</v>
      </c>
      <c r="B60" s="408">
        <v>9</v>
      </c>
      <c r="C60" s="420" t="s">
        <v>863</v>
      </c>
      <c r="D60" s="451" t="s">
        <v>484</v>
      </c>
      <c r="E60" s="400" t="s">
        <v>247</v>
      </c>
      <c r="F60" s="401">
        <v>201</v>
      </c>
      <c r="G60" s="402"/>
      <c r="H60" s="402">
        <f>ROUND(F60*G60,2)</f>
        <v>0</v>
      </c>
      <c r="I60" s="453"/>
      <c r="J60" s="453"/>
      <c r="K60" s="453"/>
      <c r="L60" s="453"/>
      <c r="M60" s="450">
        <f>$M$16</f>
        <v>21</v>
      </c>
    </row>
    <row r="61" spans="1:13" ht="13.5" customHeight="1">
      <c r="A61" s="400" t="s">
        <v>328</v>
      </c>
      <c r="B61" s="408">
        <v>9</v>
      </c>
      <c r="C61" s="420" t="s">
        <v>864</v>
      </c>
      <c r="D61" s="451" t="s">
        <v>485</v>
      </c>
      <c r="E61" s="400" t="s">
        <v>317</v>
      </c>
      <c r="F61" s="401">
        <v>67</v>
      </c>
      <c r="G61" s="402"/>
      <c r="H61" s="402">
        <f>ROUND(F61*G61,2)</f>
        <v>0</v>
      </c>
      <c r="I61" s="453"/>
      <c r="J61" s="453"/>
      <c r="K61" s="453"/>
      <c r="L61" s="453"/>
      <c r="M61" s="450">
        <f>$M$16</f>
        <v>21</v>
      </c>
    </row>
    <row r="62" spans="1:13" ht="13.5" customHeight="1">
      <c r="A62" s="446"/>
      <c r="B62" s="408"/>
      <c r="C62" s="446" t="s">
        <v>181</v>
      </c>
      <c r="D62" s="446" t="s">
        <v>486</v>
      </c>
      <c r="E62" s="446"/>
      <c r="F62" s="446"/>
      <c r="G62" s="446"/>
      <c r="H62" s="447">
        <f>SUM(H63:H63)</f>
        <v>0</v>
      </c>
      <c r="I62" s="453"/>
      <c r="J62" s="453"/>
      <c r="K62" s="453"/>
      <c r="L62" s="453"/>
      <c r="M62" s="450"/>
    </row>
    <row r="63" spans="1:13" ht="24.75" customHeight="1">
      <c r="A63" s="400" t="s">
        <v>330</v>
      </c>
      <c r="B63" s="403">
        <v>9</v>
      </c>
      <c r="C63" s="420" t="s">
        <v>865</v>
      </c>
      <c r="D63" s="451" t="s">
        <v>487</v>
      </c>
      <c r="E63" s="400" t="s">
        <v>258</v>
      </c>
      <c r="F63" s="401">
        <v>11.472</v>
      </c>
      <c r="G63" s="402"/>
      <c r="H63" s="402">
        <f>ROUND(F63*G63,2)</f>
        <v>0</v>
      </c>
      <c r="I63" s="453"/>
      <c r="J63" s="453"/>
      <c r="K63" s="453"/>
      <c r="L63" s="453"/>
      <c r="M63" s="450">
        <f>$M$16</f>
        <v>21</v>
      </c>
    </row>
    <row r="64" spans="1:13" ht="13.5" customHeight="1">
      <c r="A64" s="446"/>
      <c r="B64" s="403"/>
      <c r="C64" s="446" t="s">
        <v>157</v>
      </c>
      <c r="D64" s="446" t="s">
        <v>285</v>
      </c>
      <c r="E64" s="446"/>
      <c r="F64" s="446"/>
      <c r="G64" s="446"/>
      <c r="H64" s="447">
        <f>SUM(H65:H65)</f>
        <v>0</v>
      </c>
      <c r="I64" s="453"/>
      <c r="J64" s="453"/>
      <c r="K64" s="453"/>
      <c r="L64" s="453"/>
      <c r="M64" s="450"/>
    </row>
    <row r="65" spans="1:13" ht="13.5" customHeight="1">
      <c r="A65" s="400" t="s">
        <v>332</v>
      </c>
      <c r="B65" s="408">
        <v>9</v>
      </c>
      <c r="C65" s="420" t="s">
        <v>866</v>
      </c>
      <c r="D65" s="451" t="s">
        <v>488</v>
      </c>
      <c r="E65" s="400" t="s">
        <v>256</v>
      </c>
      <c r="F65" s="401">
        <v>36.3</v>
      </c>
      <c r="G65" s="402"/>
      <c r="H65" s="402">
        <f>ROUND(F65*G65,2)</f>
        <v>0</v>
      </c>
      <c r="I65" s="453"/>
      <c r="J65" s="453"/>
      <c r="K65" s="453"/>
      <c r="L65" s="453"/>
      <c r="M65" s="450">
        <f>$M$16</f>
        <v>21</v>
      </c>
    </row>
    <row r="66" spans="1:13" ht="13.5" customHeight="1">
      <c r="A66" s="446"/>
      <c r="B66" s="403"/>
      <c r="C66" s="446" t="s">
        <v>300</v>
      </c>
      <c r="D66" s="446" t="s">
        <v>301</v>
      </c>
      <c r="E66" s="446"/>
      <c r="F66" s="446"/>
      <c r="G66" s="446"/>
      <c r="H66" s="447">
        <f>H67</f>
        <v>0</v>
      </c>
      <c r="I66" s="453"/>
      <c r="J66" s="453"/>
      <c r="K66" s="453"/>
      <c r="L66" s="453"/>
      <c r="M66" s="450"/>
    </row>
    <row r="67" spans="1:13" ht="13.5" customHeight="1">
      <c r="A67" s="400" t="s">
        <v>334</v>
      </c>
      <c r="B67" s="408">
        <v>9</v>
      </c>
      <c r="C67" s="420" t="s">
        <v>754</v>
      </c>
      <c r="D67" s="451" t="s">
        <v>303</v>
      </c>
      <c r="E67" s="400" t="s">
        <v>268</v>
      </c>
      <c r="F67" s="401">
        <v>529.846</v>
      </c>
      <c r="G67" s="402"/>
      <c r="H67" s="402">
        <f>ROUND(F67*G67,2)</f>
        <v>0</v>
      </c>
      <c r="I67" s="453"/>
      <c r="J67" s="453"/>
      <c r="K67" s="453"/>
      <c r="L67" s="453"/>
      <c r="M67" s="450">
        <f>$M$16</f>
        <v>21</v>
      </c>
    </row>
    <row r="68" spans="1:13" ht="13.5" customHeight="1">
      <c r="A68" s="446"/>
      <c r="B68" s="403"/>
      <c r="C68" s="446" t="s">
        <v>168</v>
      </c>
      <c r="D68" s="446" t="s">
        <v>489</v>
      </c>
      <c r="E68" s="446"/>
      <c r="F68" s="446"/>
      <c r="G68" s="446"/>
      <c r="H68" s="447">
        <f>H69</f>
        <v>0</v>
      </c>
      <c r="I68" s="453"/>
      <c r="J68" s="453"/>
      <c r="K68" s="453"/>
      <c r="L68" s="453"/>
      <c r="M68" s="450"/>
    </row>
    <row r="69" spans="1:13" ht="13.5" customHeight="1">
      <c r="A69" s="446"/>
      <c r="B69" s="408"/>
      <c r="C69" s="446" t="s">
        <v>490</v>
      </c>
      <c r="D69" s="446" t="s">
        <v>491</v>
      </c>
      <c r="E69" s="446"/>
      <c r="F69" s="446"/>
      <c r="G69" s="446"/>
      <c r="H69" s="447">
        <f>SUM(H70:H79)</f>
        <v>0</v>
      </c>
      <c r="I69" s="453"/>
      <c r="J69" s="453"/>
      <c r="K69" s="453"/>
      <c r="L69" s="453"/>
      <c r="M69" s="450"/>
    </row>
    <row r="70" spans="1:13" ht="13.5" customHeight="1">
      <c r="A70" s="400" t="s">
        <v>336</v>
      </c>
      <c r="B70" s="403">
        <v>9</v>
      </c>
      <c r="C70" s="420" t="s">
        <v>867</v>
      </c>
      <c r="D70" s="451" t="s">
        <v>492</v>
      </c>
      <c r="E70" s="400" t="s">
        <v>357</v>
      </c>
      <c r="F70" s="401">
        <v>606</v>
      </c>
      <c r="G70" s="402"/>
      <c r="H70" s="402">
        <f aca="true" t="shared" si="10" ref="H70:H79">ROUND(F70*G70,2)</f>
        <v>0</v>
      </c>
      <c r="I70" s="453"/>
      <c r="J70" s="453"/>
      <c r="K70" s="453"/>
      <c r="L70" s="453"/>
      <c r="M70" s="450">
        <f aca="true" t="shared" si="11" ref="M70:M79">$M$16</f>
        <v>21</v>
      </c>
    </row>
    <row r="71" spans="1:13" ht="13.5" customHeight="1">
      <c r="A71" s="400" t="s">
        <v>338</v>
      </c>
      <c r="B71" s="408">
        <v>9</v>
      </c>
      <c r="C71" s="420" t="s">
        <v>868</v>
      </c>
      <c r="D71" s="451" t="s">
        <v>493</v>
      </c>
      <c r="E71" s="400" t="s">
        <v>268</v>
      </c>
      <c r="F71" s="401">
        <v>0.379</v>
      </c>
      <c r="G71" s="402"/>
      <c r="H71" s="402">
        <f t="shared" si="10"/>
        <v>0</v>
      </c>
      <c r="I71" s="453"/>
      <c r="J71" s="453"/>
      <c r="K71" s="453"/>
      <c r="L71" s="453"/>
      <c r="M71" s="450">
        <f t="shared" si="11"/>
        <v>21</v>
      </c>
    </row>
    <row r="72" spans="1:13" ht="13.5" customHeight="1">
      <c r="A72" s="400" t="s">
        <v>340</v>
      </c>
      <c r="B72" s="403">
        <v>9</v>
      </c>
      <c r="C72" s="420" t="s">
        <v>869</v>
      </c>
      <c r="D72" s="451" t="s">
        <v>494</v>
      </c>
      <c r="E72" s="400" t="s">
        <v>268</v>
      </c>
      <c r="F72" s="401">
        <v>0.227</v>
      </c>
      <c r="G72" s="402"/>
      <c r="H72" s="402">
        <f t="shared" si="10"/>
        <v>0</v>
      </c>
      <c r="I72" s="453"/>
      <c r="J72" s="453"/>
      <c r="K72" s="453"/>
      <c r="L72" s="453"/>
      <c r="M72" s="450">
        <f t="shared" si="11"/>
        <v>21</v>
      </c>
    </row>
    <row r="73" spans="1:13" ht="13.5" customHeight="1">
      <c r="A73" s="400" t="s">
        <v>343</v>
      </c>
      <c r="B73" s="408">
        <v>9</v>
      </c>
      <c r="C73" s="420" t="s">
        <v>870</v>
      </c>
      <c r="D73" s="451" t="s">
        <v>495</v>
      </c>
      <c r="E73" s="400" t="s">
        <v>357</v>
      </c>
      <c r="F73" s="401">
        <v>11408</v>
      </c>
      <c r="G73" s="402"/>
      <c r="H73" s="402">
        <f t="shared" si="10"/>
        <v>0</v>
      </c>
      <c r="I73" s="453"/>
      <c r="J73" s="453"/>
      <c r="K73" s="453"/>
      <c r="L73" s="453"/>
      <c r="M73" s="450">
        <f t="shared" si="11"/>
        <v>21</v>
      </c>
    </row>
    <row r="74" spans="1:13" ht="13.5" customHeight="1">
      <c r="A74" s="400" t="s">
        <v>344</v>
      </c>
      <c r="B74" s="408">
        <v>9</v>
      </c>
      <c r="C74" s="420" t="s">
        <v>871</v>
      </c>
      <c r="D74" s="451" t="s">
        <v>496</v>
      </c>
      <c r="E74" s="400" t="s">
        <v>268</v>
      </c>
      <c r="F74" s="401">
        <v>1.054</v>
      </c>
      <c r="G74" s="402"/>
      <c r="H74" s="402">
        <f t="shared" si="10"/>
        <v>0</v>
      </c>
      <c r="I74" s="453"/>
      <c r="J74" s="453"/>
      <c r="K74" s="453"/>
      <c r="L74" s="453"/>
      <c r="M74" s="450">
        <f t="shared" si="11"/>
        <v>21</v>
      </c>
    </row>
    <row r="75" spans="1:13" ht="13.5" customHeight="1">
      <c r="A75" s="400" t="s">
        <v>345</v>
      </c>
      <c r="B75" s="408">
        <v>9</v>
      </c>
      <c r="C75" s="420" t="s">
        <v>872</v>
      </c>
      <c r="D75" s="451" t="s">
        <v>497</v>
      </c>
      <c r="E75" s="400" t="s">
        <v>268</v>
      </c>
      <c r="F75" s="401">
        <v>3.088</v>
      </c>
      <c r="G75" s="402"/>
      <c r="H75" s="402">
        <f t="shared" si="10"/>
        <v>0</v>
      </c>
      <c r="I75" s="453"/>
      <c r="J75" s="453"/>
      <c r="K75" s="453"/>
      <c r="L75" s="453"/>
      <c r="M75" s="450">
        <f t="shared" si="11"/>
        <v>21</v>
      </c>
    </row>
    <row r="76" spans="1:13" ht="13.5" customHeight="1">
      <c r="A76" s="400" t="s">
        <v>346</v>
      </c>
      <c r="B76" s="403">
        <v>9</v>
      </c>
      <c r="C76" s="420" t="s">
        <v>873</v>
      </c>
      <c r="D76" s="451" t="s">
        <v>498</v>
      </c>
      <c r="E76" s="400" t="s">
        <v>268</v>
      </c>
      <c r="F76" s="401">
        <v>5.028</v>
      </c>
      <c r="G76" s="402"/>
      <c r="H76" s="402">
        <f t="shared" si="10"/>
        <v>0</v>
      </c>
      <c r="I76" s="453"/>
      <c r="J76" s="453"/>
      <c r="K76" s="453"/>
      <c r="L76" s="453"/>
      <c r="M76" s="450">
        <f t="shared" si="11"/>
        <v>21</v>
      </c>
    </row>
    <row r="77" spans="1:13" ht="13.5" customHeight="1">
      <c r="A77" s="400" t="s">
        <v>347</v>
      </c>
      <c r="B77" s="403">
        <v>9</v>
      </c>
      <c r="C77" s="420" t="s">
        <v>874</v>
      </c>
      <c r="D77" s="451" t="s">
        <v>499</v>
      </c>
      <c r="E77" s="400" t="s">
        <v>268</v>
      </c>
      <c r="F77" s="401">
        <v>1.744</v>
      </c>
      <c r="G77" s="402"/>
      <c r="H77" s="402">
        <f t="shared" si="10"/>
        <v>0</v>
      </c>
      <c r="I77" s="453"/>
      <c r="J77" s="453"/>
      <c r="K77" s="453"/>
      <c r="L77" s="453"/>
      <c r="M77" s="450">
        <f t="shared" si="11"/>
        <v>21</v>
      </c>
    </row>
    <row r="78" spans="1:13" ht="13.5" customHeight="1">
      <c r="A78" s="400" t="s">
        <v>348</v>
      </c>
      <c r="B78" s="403">
        <v>9</v>
      </c>
      <c r="C78" s="420" t="s">
        <v>875</v>
      </c>
      <c r="D78" s="451" t="s">
        <v>500</v>
      </c>
      <c r="E78" s="400" t="s">
        <v>268</v>
      </c>
      <c r="F78" s="401">
        <v>0.344</v>
      </c>
      <c r="G78" s="402"/>
      <c r="H78" s="402">
        <f t="shared" si="10"/>
        <v>0</v>
      </c>
      <c r="I78" s="453"/>
      <c r="J78" s="453"/>
      <c r="K78" s="453"/>
      <c r="L78" s="453"/>
      <c r="M78" s="450">
        <f t="shared" si="11"/>
        <v>21</v>
      </c>
    </row>
    <row r="79" spans="1:13" ht="24.75" customHeight="1">
      <c r="A79" s="400" t="s">
        <v>349</v>
      </c>
      <c r="B79" s="403">
        <v>9</v>
      </c>
      <c r="C79" s="420" t="s">
        <v>876</v>
      </c>
      <c r="D79" s="451" t="s">
        <v>501</v>
      </c>
      <c r="E79" s="400" t="s">
        <v>357</v>
      </c>
      <c r="F79" s="401">
        <v>11408</v>
      </c>
      <c r="G79" s="402"/>
      <c r="H79" s="402">
        <f t="shared" si="10"/>
        <v>0</v>
      </c>
      <c r="I79" s="453"/>
      <c r="J79" s="453"/>
      <c r="K79" s="453"/>
      <c r="L79" s="453"/>
      <c r="M79" s="450">
        <f t="shared" si="11"/>
        <v>21</v>
      </c>
    </row>
    <row r="80" spans="1:13" ht="13.5" customHeight="1">
      <c r="A80" s="399"/>
      <c r="B80" s="453"/>
      <c r="C80" s="399"/>
      <c r="D80" s="399" t="s">
        <v>124</v>
      </c>
      <c r="E80" s="399"/>
      <c r="F80" s="399"/>
      <c r="G80" s="399"/>
      <c r="H80" s="454">
        <f>H14+H68</f>
        <v>0</v>
      </c>
      <c r="I80" s="453"/>
      <c r="J80" s="453"/>
      <c r="K80" s="453"/>
      <c r="L80" s="453"/>
      <c r="M80" s="453"/>
    </row>
    <row r="81" ht="13.5" customHeight="1"/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R27" sqref="R27"/>
    </sheetView>
  </sheetViews>
  <sheetFormatPr defaultColWidth="9.00390625" defaultRowHeight="12" customHeight="1"/>
  <cols>
    <col min="1" max="1" width="2.57421875" style="66" customWidth="1"/>
    <col min="2" max="2" width="2.140625" style="66" customWidth="1"/>
    <col min="3" max="3" width="3.28125" style="66" customWidth="1"/>
    <col min="4" max="4" width="6.7109375" style="66" customWidth="1"/>
    <col min="5" max="5" width="12.7109375" style="66" customWidth="1"/>
    <col min="6" max="6" width="0.42578125" style="66" customWidth="1"/>
    <col min="7" max="7" width="2.7109375" style="66" customWidth="1"/>
    <col min="8" max="8" width="2.57421875" style="66" customWidth="1"/>
    <col min="9" max="9" width="10.57421875" style="66" customWidth="1"/>
    <col min="10" max="10" width="13.8515625" style="66" customWidth="1"/>
    <col min="11" max="11" width="0.5625" style="66" customWidth="1"/>
    <col min="12" max="12" width="2.57421875" style="66" customWidth="1"/>
    <col min="13" max="13" width="4.00390625" style="66" customWidth="1"/>
    <col min="14" max="14" width="4.8515625" style="66" customWidth="1"/>
    <col min="15" max="15" width="3.57421875" style="66" customWidth="1"/>
    <col min="16" max="16" width="13.140625" style="66" customWidth="1"/>
    <col min="17" max="17" width="6.421875" style="66" customWidth="1"/>
    <col min="18" max="18" width="15.28125" style="66" customWidth="1"/>
    <col min="19" max="19" width="0.42578125" style="66" customWidth="1"/>
    <col min="20" max="16384" width="9.00390625" style="69" customWidth="1"/>
  </cols>
  <sheetData>
    <row r="1" spans="1:19" s="66" customFormat="1" ht="14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19" s="66" customFormat="1" ht="21" customHeight="1">
      <c r="A2" s="73"/>
      <c r="B2" s="74"/>
      <c r="C2" s="74"/>
      <c r="D2" s="74"/>
      <c r="E2" s="74"/>
      <c r="F2" s="74"/>
      <c r="G2" s="75" t="s">
        <v>125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6"/>
    </row>
    <row r="3" spans="1:19" s="66" customFormat="1" ht="14.2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4"/>
      <c r="P3" s="78"/>
      <c r="Q3" s="78"/>
      <c r="R3" s="78"/>
      <c r="S3" s="79"/>
    </row>
    <row r="4" spans="1:19" s="66" customFormat="1" ht="9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</row>
    <row r="5" spans="1:19" s="66" customFormat="1" ht="18.75" customHeight="1">
      <c r="A5" s="83"/>
      <c r="B5" s="84" t="s">
        <v>126</v>
      </c>
      <c r="C5" s="84"/>
      <c r="D5" s="84"/>
      <c r="E5" s="85" t="s">
        <v>619</v>
      </c>
      <c r="F5" s="86"/>
      <c r="G5" s="86"/>
      <c r="H5" s="86"/>
      <c r="I5" s="86"/>
      <c r="J5" s="87"/>
      <c r="K5" s="84"/>
      <c r="L5" s="84"/>
      <c r="M5" s="84"/>
      <c r="N5" s="84"/>
      <c r="O5" s="700" t="s">
        <v>127</v>
      </c>
      <c r="P5" s="700"/>
      <c r="Q5" s="85"/>
      <c r="R5" s="87"/>
      <c r="S5" s="88"/>
    </row>
    <row r="6" spans="1:19" s="66" customFormat="1" ht="18.75" customHeight="1">
      <c r="A6" s="83"/>
      <c r="B6" s="84" t="s">
        <v>128</v>
      </c>
      <c r="C6" s="84"/>
      <c r="D6" s="84"/>
      <c r="E6" s="89" t="s">
        <v>502</v>
      </c>
      <c r="F6" s="84"/>
      <c r="G6" s="84"/>
      <c r="H6" s="84"/>
      <c r="I6" s="84"/>
      <c r="J6" s="90"/>
      <c r="K6" s="84"/>
      <c r="L6" s="84"/>
      <c r="M6" s="84"/>
      <c r="N6" s="84"/>
      <c r="O6" s="700" t="s">
        <v>130</v>
      </c>
      <c r="P6" s="700"/>
      <c r="Q6" s="89"/>
      <c r="R6" s="90"/>
      <c r="S6" s="88"/>
    </row>
    <row r="7" spans="1:19" s="66" customFormat="1" ht="18.75" customHeight="1" thickBot="1">
      <c r="A7" s="83"/>
      <c r="B7" s="84" t="s">
        <v>131</v>
      </c>
      <c r="C7" s="84"/>
      <c r="D7" s="84"/>
      <c r="E7" s="91"/>
      <c r="F7" s="92"/>
      <c r="G7" s="92"/>
      <c r="H7" s="92"/>
      <c r="I7" s="92"/>
      <c r="J7" s="93"/>
      <c r="K7" s="84"/>
      <c r="L7" s="84"/>
      <c r="M7" s="84"/>
      <c r="N7" s="84"/>
      <c r="O7" s="700" t="s">
        <v>132</v>
      </c>
      <c r="P7" s="700"/>
      <c r="Q7" s="91"/>
      <c r="R7" s="93"/>
      <c r="S7" s="88"/>
    </row>
    <row r="8" spans="1:19" s="66" customFormat="1" ht="18.75" customHeight="1" thickBo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00" t="s">
        <v>14</v>
      </c>
      <c r="P8" s="700"/>
      <c r="Q8" s="84" t="s">
        <v>15</v>
      </c>
      <c r="R8" s="84"/>
      <c r="S8" s="88"/>
    </row>
    <row r="9" spans="1:19" s="66" customFormat="1" ht="18.75" customHeight="1" thickBot="1">
      <c r="A9" s="83"/>
      <c r="B9" s="84" t="s">
        <v>133</v>
      </c>
      <c r="C9" s="84"/>
      <c r="D9" s="84"/>
      <c r="E9" s="85"/>
      <c r="F9" s="86"/>
      <c r="G9" s="86"/>
      <c r="H9" s="86"/>
      <c r="I9" s="86"/>
      <c r="J9" s="87"/>
      <c r="K9" s="84"/>
      <c r="L9" s="84"/>
      <c r="M9" s="84"/>
      <c r="N9" s="84"/>
      <c r="O9" s="695"/>
      <c r="P9" s="696"/>
      <c r="Q9" s="94"/>
      <c r="R9" s="95"/>
      <c r="S9" s="88"/>
    </row>
    <row r="10" spans="1:19" s="66" customFormat="1" ht="18.75" customHeight="1" thickBot="1">
      <c r="A10" s="83"/>
      <c r="B10" s="84" t="s">
        <v>134</v>
      </c>
      <c r="C10" s="84"/>
      <c r="D10" s="84"/>
      <c r="E10" s="89"/>
      <c r="F10" s="84"/>
      <c r="G10" s="84"/>
      <c r="H10" s="84"/>
      <c r="I10" s="84"/>
      <c r="J10" s="90"/>
      <c r="K10" s="84"/>
      <c r="L10" s="84"/>
      <c r="M10" s="84"/>
      <c r="N10" s="84"/>
      <c r="O10" s="695"/>
      <c r="P10" s="696"/>
      <c r="Q10" s="94"/>
      <c r="R10" s="95"/>
      <c r="S10" s="88"/>
    </row>
    <row r="11" spans="1:19" s="66" customFormat="1" ht="18.75" customHeight="1" thickBot="1">
      <c r="A11" s="83"/>
      <c r="B11" s="84" t="s">
        <v>135</v>
      </c>
      <c r="C11" s="84"/>
      <c r="D11" s="84"/>
      <c r="E11" s="89"/>
      <c r="F11" s="84"/>
      <c r="G11" s="84"/>
      <c r="H11" s="84"/>
      <c r="I11" s="84"/>
      <c r="J11" s="90"/>
      <c r="K11" s="84"/>
      <c r="L11" s="84"/>
      <c r="M11" s="84"/>
      <c r="N11" s="84"/>
      <c r="O11" s="695"/>
      <c r="P11" s="696"/>
      <c r="Q11" s="94"/>
      <c r="R11" s="95"/>
      <c r="S11" s="88"/>
    </row>
    <row r="12" spans="1:19" s="66" customFormat="1" ht="18.75" customHeight="1" thickBot="1">
      <c r="A12" s="83"/>
      <c r="B12" s="84"/>
      <c r="C12" s="84"/>
      <c r="D12" s="84"/>
      <c r="E12" s="91"/>
      <c r="F12" s="92"/>
      <c r="G12" s="92"/>
      <c r="H12" s="92"/>
      <c r="I12" s="92"/>
      <c r="J12" s="93"/>
      <c r="K12" s="84"/>
      <c r="L12" s="84"/>
      <c r="M12" s="84"/>
      <c r="N12" s="84"/>
      <c r="O12" s="96"/>
      <c r="P12" s="96"/>
      <c r="Q12" s="96"/>
      <c r="R12" s="84"/>
      <c r="S12" s="88"/>
    </row>
    <row r="13" spans="1:19" s="66" customFormat="1" ht="18.75" customHeight="1" thickBot="1">
      <c r="A13" s="83"/>
      <c r="B13" s="84"/>
      <c r="C13" s="84"/>
      <c r="D13" s="84"/>
      <c r="E13" s="96" t="s">
        <v>136</v>
      </c>
      <c r="F13" s="84"/>
      <c r="G13" s="84" t="s">
        <v>137</v>
      </c>
      <c r="H13" s="84"/>
      <c r="I13" s="84"/>
      <c r="J13" s="84"/>
      <c r="K13" s="84"/>
      <c r="L13" s="84"/>
      <c r="M13" s="84"/>
      <c r="N13" s="84"/>
      <c r="O13" s="694" t="s">
        <v>138</v>
      </c>
      <c r="P13" s="694"/>
      <c r="Q13" s="96"/>
      <c r="R13" s="97"/>
      <c r="S13" s="88"/>
    </row>
    <row r="14" spans="1:19" s="66" customFormat="1" ht="18.75" customHeight="1" thickBot="1">
      <c r="A14" s="83"/>
      <c r="B14" s="84"/>
      <c r="C14" s="84"/>
      <c r="D14" s="84"/>
      <c r="E14" s="98"/>
      <c r="F14" s="84"/>
      <c r="G14" s="94"/>
      <c r="H14" s="99"/>
      <c r="I14" s="100"/>
      <c r="J14" s="84"/>
      <c r="K14" s="84"/>
      <c r="L14" s="84"/>
      <c r="M14" s="84"/>
      <c r="N14" s="84"/>
      <c r="O14" s="695" t="s">
        <v>139</v>
      </c>
      <c r="P14" s="696"/>
      <c r="Q14" s="96"/>
      <c r="R14" s="101"/>
      <c r="S14" s="88"/>
    </row>
    <row r="15" spans="1:19" s="66" customFormat="1" ht="9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84"/>
      <c r="P15" s="103"/>
      <c r="Q15" s="103"/>
      <c r="R15" s="103"/>
      <c r="S15" s="104"/>
    </row>
    <row r="16" spans="1:19" s="66" customFormat="1" ht="20.25" customHeight="1">
      <c r="A16" s="105"/>
      <c r="B16" s="106"/>
      <c r="C16" s="106"/>
      <c r="D16" s="106"/>
      <c r="E16" s="107" t="s">
        <v>140</v>
      </c>
      <c r="F16" s="106"/>
      <c r="G16" s="106"/>
      <c r="H16" s="106"/>
      <c r="I16" s="106"/>
      <c r="J16" s="106"/>
      <c r="K16" s="106"/>
      <c r="L16" s="106"/>
      <c r="M16" s="106"/>
      <c r="N16" s="106"/>
      <c r="O16" s="81"/>
      <c r="P16" s="106"/>
      <c r="Q16" s="106"/>
      <c r="R16" s="106"/>
      <c r="S16" s="108"/>
    </row>
    <row r="17" spans="1:19" s="66" customFormat="1" ht="21.75" customHeight="1">
      <c r="A17" s="109" t="s">
        <v>141</v>
      </c>
      <c r="B17" s="110"/>
      <c r="C17" s="110"/>
      <c r="D17" s="111"/>
      <c r="E17" s="112" t="s">
        <v>142</v>
      </c>
      <c r="F17" s="111"/>
      <c r="G17" s="112" t="s">
        <v>143</v>
      </c>
      <c r="H17" s="110"/>
      <c r="I17" s="111"/>
      <c r="J17" s="112" t="s">
        <v>144</v>
      </c>
      <c r="K17" s="110"/>
      <c r="L17" s="112" t="s">
        <v>145</v>
      </c>
      <c r="M17" s="110"/>
      <c r="N17" s="110"/>
      <c r="O17" s="110"/>
      <c r="P17" s="111"/>
      <c r="Q17" s="112" t="s">
        <v>146</v>
      </c>
      <c r="R17" s="110"/>
      <c r="S17" s="113"/>
    </row>
    <row r="18" spans="1:19" s="66" customFormat="1" ht="19.5" customHeight="1">
      <c r="A18" s="114"/>
      <c r="B18" s="115"/>
      <c r="C18" s="115"/>
      <c r="D18" s="116">
        <v>0</v>
      </c>
      <c r="E18" s="117">
        <v>0</v>
      </c>
      <c r="F18" s="118"/>
      <c r="G18" s="119"/>
      <c r="H18" s="115"/>
      <c r="I18" s="116">
        <v>0</v>
      </c>
      <c r="J18" s="117">
        <v>0</v>
      </c>
      <c r="K18" s="120"/>
      <c r="L18" s="119"/>
      <c r="M18" s="115"/>
      <c r="N18" s="115"/>
      <c r="O18" s="121"/>
      <c r="P18" s="116">
        <v>0</v>
      </c>
      <c r="Q18" s="119"/>
      <c r="R18" s="122">
        <v>0</v>
      </c>
      <c r="S18" s="123"/>
    </row>
    <row r="19" spans="1:19" s="66" customFormat="1" ht="20.25" customHeight="1">
      <c r="A19" s="105"/>
      <c r="B19" s="106"/>
      <c r="C19" s="106"/>
      <c r="D19" s="106"/>
      <c r="E19" s="107" t="s">
        <v>147</v>
      </c>
      <c r="F19" s="106"/>
      <c r="G19" s="106"/>
      <c r="H19" s="106"/>
      <c r="I19" s="106"/>
      <c r="J19" s="124" t="s">
        <v>18</v>
      </c>
      <c r="K19" s="106"/>
      <c r="L19" s="106"/>
      <c r="M19" s="106"/>
      <c r="N19" s="106"/>
      <c r="O19" s="103"/>
      <c r="P19" s="106"/>
      <c r="Q19" s="106"/>
      <c r="R19" s="106"/>
      <c r="S19" s="108"/>
    </row>
    <row r="20" spans="1:19" s="66" customFormat="1" ht="19.5" customHeight="1">
      <c r="A20" s="125" t="s">
        <v>148</v>
      </c>
      <c r="B20" s="126"/>
      <c r="C20" s="127" t="s">
        <v>149</v>
      </c>
      <c r="D20" s="128"/>
      <c r="E20" s="128"/>
      <c r="F20" s="129"/>
      <c r="G20" s="125" t="s">
        <v>150</v>
      </c>
      <c r="H20" s="130"/>
      <c r="I20" s="127" t="s">
        <v>151</v>
      </c>
      <c r="J20" s="128"/>
      <c r="K20" s="128"/>
      <c r="L20" s="125" t="s">
        <v>152</v>
      </c>
      <c r="M20" s="130"/>
      <c r="N20" s="127" t="s">
        <v>153</v>
      </c>
      <c r="O20" s="131"/>
      <c r="P20" s="128"/>
      <c r="Q20" s="128"/>
      <c r="R20" s="128"/>
      <c r="S20" s="129"/>
    </row>
    <row r="21" spans="1:19" s="66" customFormat="1" ht="19.5" customHeight="1">
      <c r="A21" s="132" t="s">
        <v>154</v>
      </c>
      <c r="B21" s="133" t="s">
        <v>155</v>
      </c>
      <c r="C21" s="134"/>
      <c r="D21" s="135" t="s">
        <v>156</v>
      </c>
      <c r="E21" s="136">
        <v>182960.58</v>
      </c>
      <c r="F21" s="137"/>
      <c r="G21" s="132" t="s">
        <v>157</v>
      </c>
      <c r="H21" s="138" t="s">
        <v>158</v>
      </c>
      <c r="I21" s="139"/>
      <c r="J21" s="140">
        <v>0</v>
      </c>
      <c r="K21" s="141"/>
      <c r="L21" s="132" t="s">
        <v>159</v>
      </c>
      <c r="M21" s="142" t="s">
        <v>160</v>
      </c>
      <c r="N21" s="143"/>
      <c r="O21" s="143"/>
      <c r="P21" s="143"/>
      <c r="Q21" s="144"/>
      <c r="R21" s="136">
        <v>36892.08</v>
      </c>
      <c r="S21" s="137"/>
    </row>
    <row r="22" spans="1:19" s="66" customFormat="1" ht="19.5" customHeight="1">
      <c r="A22" s="132" t="s">
        <v>161</v>
      </c>
      <c r="B22" s="145"/>
      <c r="C22" s="146"/>
      <c r="D22" s="135" t="s">
        <v>162</v>
      </c>
      <c r="E22" s="136">
        <v>1245020.97</v>
      </c>
      <c r="F22" s="137"/>
      <c r="G22" s="132" t="s">
        <v>163</v>
      </c>
      <c r="H22" s="84" t="s">
        <v>164</v>
      </c>
      <c r="I22" s="139"/>
      <c r="J22" s="140">
        <v>0</v>
      </c>
      <c r="K22" s="141"/>
      <c r="L22" s="132" t="s">
        <v>165</v>
      </c>
      <c r="M22" s="142" t="s">
        <v>166</v>
      </c>
      <c r="N22" s="143"/>
      <c r="O22" s="84"/>
      <c r="P22" s="143"/>
      <c r="Q22" s="144"/>
      <c r="R22" s="136">
        <v>0</v>
      </c>
      <c r="S22" s="137"/>
    </row>
    <row r="23" spans="1:19" s="66" customFormat="1" ht="19.5" customHeight="1">
      <c r="A23" s="132" t="s">
        <v>167</v>
      </c>
      <c r="B23" s="133" t="s">
        <v>168</v>
      </c>
      <c r="C23" s="134"/>
      <c r="D23" s="135" t="s">
        <v>156</v>
      </c>
      <c r="E23" s="136">
        <v>0</v>
      </c>
      <c r="F23" s="137"/>
      <c r="G23" s="132" t="s">
        <v>169</v>
      </c>
      <c r="H23" s="138" t="s">
        <v>170</v>
      </c>
      <c r="I23" s="139"/>
      <c r="J23" s="140">
        <v>0</v>
      </c>
      <c r="K23" s="141"/>
      <c r="L23" s="132" t="s">
        <v>171</v>
      </c>
      <c r="M23" s="142" t="s">
        <v>172</v>
      </c>
      <c r="N23" s="143"/>
      <c r="O23" s="143"/>
      <c r="P23" s="143"/>
      <c r="Q23" s="144"/>
      <c r="R23" s="136">
        <v>0</v>
      </c>
      <c r="S23" s="137"/>
    </row>
    <row r="24" spans="1:19" s="66" customFormat="1" ht="19.5" customHeight="1">
      <c r="A24" s="132" t="s">
        <v>173</v>
      </c>
      <c r="B24" s="145"/>
      <c r="C24" s="146"/>
      <c r="D24" s="135" t="s">
        <v>162</v>
      </c>
      <c r="E24" s="136">
        <v>0</v>
      </c>
      <c r="F24" s="137"/>
      <c r="G24" s="132" t="s">
        <v>174</v>
      </c>
      <c r="H24" s="138"/>
      <c r="I24" s="139"/>
      <c r="J24" s="140">
        <v>0</v>
      </c>
      <c r="K24" s="141"/>
      <c r="L24" s="132" t="s">
        <v>175</v>
      </c>
      <c r="M24" s="142" t="s">
        <v>176</v>
      </c>
      <c r="N24" s="143"/>
      <c r="O24" s="84"/>
      <c r="P24" s="143"/>
      <c r="Q24" s="144"/>
      <c r="R24" s="136">
        <v>0</v>
      </c>
      <c r="S24" s="137"/>
    </row>
    <row r="25" spans="1:19" s="66" customFormat="1" ht="19.5" customHeight="1">
      <c r="A25" s="132" t="s">
        <v>177</v>
      </c>
      <c r="B25" s="133" t="s">
        <v>178</v>
      </c>
      <c r="C25" s="134"/>
      <c r="D25" s="135" t="s">
        <v>156</v>
      </c>
      <c r="E25" s="136">
        <v>0</v>
      </c>
      <c r="F25" s="137"/>
      <c r="G25" s="147"/>
      <c r="H25" s="143"/>
      <c r="I25" s="139"/>
      <c r="J25" s="140"/>
      <c r="K25" s="141"/>
      <c r="L25" s="132" t="s">
        <v>179</v>
      </c>
      <c r="M25" s="142" t="s">
        <v>180</v>
      </c>
      <c r="N25" s="143"/>
      <c r="O25" s="143"/>
      <c r="P25" s="143"/>
      <c r="Q25" s="144"/>
      <c r="R25" s="136">
        <v>0</v>
      </c>
      <c r="S25" s="137"/>
    </row>
    <row r="26" spans="1:19" s="66" customFormat="1" ht="19.5" customHeight="1">
      <c r="A26" s="132" t="s">
        <v>181</v>
      </c>
      <c r="B26" s="145"/>
      <c r="C26" s="146"/>
      <c r="D26" s="135" t="s">
        <v>162</v>
      </c>
      <c r="E26" s="136">
        <v>109188.38</v>
      </c>
      <c r="F26" s="137"/>
      <c r="G26" s="147"/>
      <c r="H26" s="143"/>
      <c r="I26" s="139"/>
      <c r="J26" s="140"/>
      <c r="K26" s="141"/>
      <c r="L26" s="132" t="s">
        <v>182</v>
      </c>
      <c r="M26" s="138" t="s">
        <v>183</v>
      </c>
      <c r="N26" s="143"/>
      <c r="O26" s="84"/>
      <c r="P26" s="143"/>
      <c r="Q26" s="139"/>
      <c r="R26" s="136">
        <v>0</v>
      </c>
      <c r="S26" s="137"/>
    </row>
    <row r="27" spans="1:19" s="66" customFormat="1" ht="19.5" customHeight="1">
      <c r="A27" s="132" t="s">
        <v>184</v>
      </c>
      <c r="B27" s="148" t="s">
        <v>185</v>
      </c>
      <c r="C27" s="143"/>
      <c r="D27" s="139"/>
      <c r="E27" s="149">
        <v>1537169.93</v>
      </c>
      <c r="F27" s="108"/>
      <c r="G27" s="132" t="s">
        <v>186</v>
      </c>
      <c r="H27" s="148" t="s">
        <v>187</v>
      </c>
      <c r="I27" s="139"/>
      <c r="J27" s="150"/>
      <c r="K27" s="151"/>
      <c r="L27" s="132" t="s">
        <v>188</v>
      </c>
      <c r="M27" s="148" t="s">
        <v>189</v>
      </c>
      <c r="N27" s="143"/>
      <c r="O27" s="143"/>
      <c r="P27" s="143"/>
      <c r="Q27" s="139"/>
      <c r="R27" s="149">
        <v>36892.08</v>
      </c>
      <c r="S27" s="108"/>
    </row>
    <row r="28" spans="1:19" s="66" customFormat="1" ht="19.5" customHeight="1">
      <c r="A28" s="152" t="s">
        <v>190</v>
      </c>
      <c r="B28" s="153" t="s">
        <v>191</v>
      </c>
      <c r="C28" s="154"/>
      <c r="D28" s="155"/>
      <c r="E28" s="156">
        <v>0</v>
      </c>
      <c r="F28" s="104"/>
      <c r="G28" s="152" t="s">
        <v>192</v>
      </c>
      <c r="H28" s="153" t="s">
        <v>193</v>
      </c>
      <c r="I28" s="155"/>
      <c r="J28" s="157">
        <v>20101.74</v>
      </c>
      <c r="K28" s="158"/>
      <c r="L28" s="152" t="s">
        <v>194</v>
      </c>
      <c r="M28" s="153" t="s">
        <v>195</v>
      </c>
      <c r="N28" s="154"/>
      <c r="O28" s="103"/>
      <c r="P28" s="154"/>
      <c r="Q28" s="155"/>
      <c r="R28" s="156">
        <v>0</v>
      </c>
      <c r="S28" s="104"/>
    </row>
    <row r="29" spans="1:19" s="66" customFormat="1" ht="19.5" customHeight="1">
      <c r="A29" s="159" t="s">
        <v>134</v>
      </c>
      <c r="B29" s="81"/>
      <c r="C29" s="81"/>
      <c r="D29" s="81"/>
      <c r="E29" s="81"/>
      <c r="F29" s="160"/>
      <c r="G29" s="161"/>
      <c r="H29" s="81"/>
      <c r="I29" s="81"/>
      <c r="J29" s="81"/>
      <c r="K29" s="81"/>
      <c r="L29" s="125" t="s">
        <v>196</v>
      </c>
      <c r="M29" s="111"/>
      <c r="N29" s="127" t="s">
        <v>197</v>
      </c>
      <c r="O29" s="84"/>
      <c r="P29" s="110"/>
      <c r="Q29" s="110"/>
      <c r="R29" s="110"/>
      <c r="S29" s="113"/>
    </row>
    <row r="30" spans="1:19" s="66" customFormat="1" ht="19.5" customHeight="1">
      <c r="A30" s="83"/>
      <c r="B30" s="84"/>
      <c r="C30" s="84"/>
      <c r="D30" s="84"/>
      <c r="E30" s="84"/>
      <c r="F30" s="162"/>
      <c r="G30" s="163"/>
      <c r="H30" s="84"/>
      <c r="I30" s="84"/>
      <c r="J30" s="84"/>
      <c r="K30" s="84"/>
      <c r="L30" s="132" t="s">
        <v>198</v>
      </c>
      <c r="M30" s="138" t="s">
        <v>199</v>
      </c>
      <c r="N30" s="143"/>
      <c r="O30" s="143"/>
      <c r="P30" s="143"/>
      <c r="Q30" s="139"/>
      <c r="R30" s="149">
        <v>1594163.75</v>
      </c>
      <c r="S30" s="108"/>
    </row>
    <row r="31" spans="1:19" s="66" customFormat="1" ht="19.5" customHeight="1">
      <c r="A31" s="164" t="s">
        <v>200</v>
      </c>
      <c r="B31" s="165"/>
      <c r="C31" s="165"/>
      <c r="D31" s="165"/>
      <c r="E31" s="165"/>
      <c r="F31" s="146"/>
      <c r="G31" s="166" t="s">
        <v>201</v>
      </c>
      <c r="H31" s="165"/>
      <c r="I31" s="165"/>
      <c r="J31" s="165"/>
      <c r="K31" s="165"/>
      <c r="L31" s="132" t="s">
        <v>202</v>
      </c>
      <c r="M31" s="142" t="s">
        <v>8</v>
      </c>
      <c r="N31" s="167">
        <v>9</v>
      </c>
      <c r="O31" s="96" t="s">
        <v>203</v>
      </c>
      <c r="P31" s="697">
        <v>0</v>
      </c>
      <c r="Q31" s="694"/>
      <c r="R31" s="168">
        <v>0</v>
      </c>
      <c r="S31" s="169"/>
    </row>
    <row r="32" spans="1:19" s="66" customFormat="1" ht="20.25" customHeight="1" thickBot="1">
      <c r="A32" s="170" t="s">
        <v>133</v>
      </c>
      <c r="B32" s="171"/>
      <c r="C32" s="171"/>
      <c r="D32" s="171"/>
      <c r="E32" s="171"/>
      <c r="F32" s="134"/>
      <c r="G32" s="172"/>
      <c r="H32" s="171"/>
      <c r="I32" s="171"/>
      <c r="J32" s="171"/>
      <c r="K32" s="171"/>
      <c r="L32" s="132" t="s">
        <v>204</v>
      </c>
      <c r="M32" s="142" t="s">
        <v>8</v>
      </c>
      <c r="N32" s="167">
        <v>19</v>
      </c>
      <c r="O32" s="173" t="s">
        <v>203</v>
      </c>
      <c r="P32" s="698">
        <v>1594163.75</v>
      </c>
      <c r="Q32" s="699"/>
      <c r="R32" s="136">
        <v>302891.2</v>
      </c>
      <c r="S32" s="137"/>
    </row>
    <row r="33" spans="1:19" s="66" customFormat="1" ht="20.25" customHeight="1" thickBot="1">
      <c r="A33" s="83"/>
      <c r="B33" s="84"/>
      <c r="C33" s="84"/>
      <c r="D33" s="84"/>
      <c r="E33" s="84"/>
      <c r="F33" s="162"/>
      <c r="G33" s="163"/>
      <c r="H33" s="84"/>
      <c r="I33" s="84"/>
      <c r="J33" s="84"/>
      <c r="K33" s="84"/>
      <c r="L33" s="152" t="s">
        <v>205</v>
      </c>
      <c r="M33" s="174" t="s">
        <v>206</v>
      </c>
      <c r="N33" s="154"/>
      <c r="O33" s="84"/>
      <c r="P33" s="154"/>
      <c r="Q33" s="155"/>
      <c r="R33" s="175">
        <v>1897054.95</v>
      </c>
      <c r="S33" s="95"/>
    </row>
    <row r="34" spans="1:19" s="66" customFormat="1" ht="19.5" customHeight="1">
      <c r="A34" s="164" t="s">
        <v>200</v>
      </c>
      <c r="B34" s="165"/>
      <c r="C34" s="165"/>
      <c r="D34" s="165"/>
      <c r="E34" s="165"/>
      <c r="F34" s="146"/>
      <c r="G34" s="166" t="s">
        <v>201</v>
      </c>
      <c r="H34" s="165"/>
      <c r="I34" s="165"/>
      <c r="J34" s="165"/>
      <c r="K34" s="165"/>
      <c r="L34" s="125" t="s">
        <v>207</v>
      </c>
      <c r="M34" s="111"/>
      <c r="N34" s="127" t="s">
        <v>208</v>
      </c>
      <c r="O34" s="81"/>
      <c r="P34" s="110"/>
      <c r="Q34" s="110"/>
      <c r="R34" s="176"/>
      <c r="S34" s="113"/>
    </row>
    <row r="35" spans="1:19" s="66" customFormat="1" ht="20.25" customHeight="1">
      <c r="A35" s="170" t="s">
        <v>135</v>
      </c>
      <c r="B35" s="171"/>
      <c r="C35" s="171"/>
      <c r="D35" s="171"/>
      <c r="E35" s="171"/>
      <c r="F35" s="134"/>
      <c r="G35" s="172"/>
      <c r="H35" s="171"/>
      <c r="I35" s="171"/>
      <c r="J35" s="171"/>
      <c r="K35" s="171"/>
      <c r="L35" s="132" t="s">
        <v>209</v>
      </c>
      <c r="M35" s="138" t="s">
        <v>210</v>
      </c>
      <c r="N35" s="143"/>
      <c r="O35" s="143"/>
      <c r="P35" s="143"/>
      <c r="Q35" s="139"/>
      <c r="R35" s="136">
        <v>0</v>
      </c>
      <c r="S35" s="137"/>
    </row>
    <row r="36" spans="1:19" s="66" customFormat="1" ht="19.5" customHeight="1">
      <c r="A36" s="83"/>
      <c r="B36" s="84"/>
      <c r="C36" s="84"/>
      <c r="D36" s="84"/>
      <c r="E36" s="84"/>
      <c r="F36" s="162"/>
      <c r="G36" s="163"/>
      <c r="H36" s="84"/>
      <c r="I36" s="84"/>
      <c r="J36" s="84"/>
      <c r="K36" s="84"/>
      <c r="L36" s="132" t="s">
        <v>211</v>
      </c>
      <c r="M36" s="138" t="s">
        <v>212</v>
      </c>
      <c r="N36" s="143"/>
      <c r="O36" s="165"/>
      <c r="P36" s="143"/>
      <c r="Q36" s="139"/>
      <c r="R36" s="136">
        <v>0</v>
      </c>
      <c r="S36" s="137"/>
    </row>
    <row r="37" spans="1:19" s="66" customFormat="1" ht="19.5" customHeight="1">
      <c r="A37" s="177" t="s">
        <v>200</v>
      </c>
      <c r="B37" s="103"/>
      <c r="C37" s="103"/>
      <c r="D37" s="103"/>
      <c r="E37" s="103"/>
      <c r="F37" s="178"/>
      <c r="G37" s="179" t="s">
        <v>201</v>
      </c>
      <c r="H37" s="103"/>
      <c r="I37" s="103"/>
      <c r="J37" s="103"/>
      <c r="K37" s="103"/>
      <c r="L37" s="152" t="s">
        <v>213</v>
      </c>
      <c r="M37" s="153" t="s">
        <v>214</v>
      </c>
      <c r="N37" s="154"/>
      <c r="O37" s="103"/>
      <c r="P37" s="154"/>
      <c r="Q37" s="155"/>
      <c r="R37" s="117">
        <v>0</v>
      </c>
      <c r="S37" s="180"/>
    </row>
  </sheetData>
  <sheetProtection/>
  <mergeCells count="11">
    <mergeCell ref="O11:P11"/>
    <mergeCell ref="O13:P13"/>
    <mergeCell ref="O14:P14"/>
    <mergeCell ref="P31:Q31"/>
    <mergeCell ref="P32:Q32"/>
    <mergeCell ref="O10:P10"/>
    <mergeCell ref="O5:P5"/>
    <mergeCell ref="O6:P6"/>
    <mergeCell ref="O7:P7"/>
    <mergeCell ref="O8:P8"/>
    <mergeCell ref="O9:P9"/>
  </mergeCells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V41" sqref="V41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502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106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503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108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>
        <v>132900.31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28833.96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>
        <v>984257.5299999999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>
        <v>0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>
        <v>0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>
        <v>0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>
        <v>84257.18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>
        <v>0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>
        <f>SUM(E38:E43)</f>
        <v>1201415.0199999998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>
        <f>SUM(R38:R43)+J45</f>
        <v>44280.45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>
        <v>0</v>
      </c>
      <c r="F45" s="223"/>
      <c r="G45" s="267">
        <v>21</v>
      </c>
      <c r="H45" s="268" t="s">
        <v>193</v>
      </c>
      <c r="I45" s="270"/>
      <c r="J45" s="272">
        <v>15446.49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>
        <v>0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>
        <f>ROUND(E44+R44+E45+R45,2)</f>
        <v>1245695.47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>
        <f>R47-O49</f>
        <v>0</v>
      </c>
      <c r="P48" s="217" t="s">
        <v>8</v>
      </c>
      <c r="Q48" s="215"/>
      <c r="R48" s="282">
        <f>ROUNDUP(O48*M48/100,2)</f>
        <v>0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>
        <v>1245695.47</v>
      </c>
      <c r="P49" s="217" t="s">
        <v>8</v>
      </c>
      <c r="Q49" s="215"/>
      <c r="R49" s="252">
        <f>ROUNDUP(O49*M49/100,2)</f>
        <v>236682.14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>
        <f>R47+R48+R49</f>
        <v>1482377.6099999999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">
        <v>2</v>
      </c>
      <c r="C2" s="300"/>
      <c r="D2" s="300"/>
      <c r="E2" s="300"/>
    </row>
    <row r="3" spans="1:5" ht="12" customHeight="1">
      <c r="A3" s="298" t="s">
        <v>225</v>
      </c>
      <c r="B3" s="299" t="s">
        <v>502</v>
      </c>
      <c r="C3" s="301"/>
      <c r="D3" s="299"/>
      <c r="E3" s="302"/>
    </row>
    <row r="4" spans="1:5" ht="12" customHeight="1">
      <c r="A4" s="298" t="s">
        <v>226</v>
      </c>
      <c r="B4" s="299" t="s">
        <v>503</v>
      </c>
      <c r="C4" s="301"/>
      <c r="D4" s="299"/>
      <c r="E4" s="302"/>
    </row>
    <row r="5" spans="1:5" ht="12" customHeight="1">
      <c r="A5" s="299" t="s">
        <v>227</v>
      </c>
      <c r="B5" s="299" t="s">
        <v>215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">
        <v>215</v>
      </c>
      <c r="C7" s="301"/>
      <c r="D7" s="299"/>
      <c r="E7" s="302"/>
    </row>
    <row r="8" spans="1:5" ht="12" customHeight="1">
      <c r="A8" s="299" t="s">
        <v>12</v>
      </c>
      <c r="B8" s="299" t="s">
        <v>215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">
        <v>155</v>
      </c>
      <c r="B14" s="315" t="s">
        <v>243</v>
      </c>
      <c r="C14" s="316">
        <v>1117157.84</v>
      </c>
      <c r="D14" s="317">
        <v>217.1662954</v>
      </c>
      <c r="E14" s="317">
        <v>69.1768</v>
      </c>
    </row>
    <row r="15" spans="1:5" s="318" customFormat="1" ht="12.75" customHeight="1">
      <c r="A15" s="319" t="s">
        <v>154</v>
      </c>
      <c r="B15" s="320" t="s">
        <v>245</v>
      </c>
      <c r="C15" s="321">
        <v>427002.11999999994</v>
      </c>
      <c r="D15" s="322">
        <v>206.113594</v>
      </c>
      <c r="E15" s="322">
        <v>69.1768</v>
      </c>
    </row>
    <row r="16" spans="1:5" s="318" customFormat="1" ht="12.75" customHeight="1">
      <c r="A16" s="319" t="s">
        <v>173</v>
      </c>
      <c r="B16" s="320" t="s">
        <v>275</v>
      </c>
      <c r="C16" s="321">
        <v>100574.1</v>
      </c>
      <c r="D16" s="322">
        <v>6.1363994</v>
      </c>
      <c r="E16" s="322">
        <v>0</v>
      </c>
    </row>
    <row r="17" spans="1:5" s="318" customFormat="1" ht="12.75" customHeight="1">
      <c r="A17" s="319" t="s">
        <v>177</v>
      </c>
      <c r="B17" s="320" t="s">
        <v>279</v>
      </c>
      <c r="C17" s="321">
        <v>102753.38</v>
      </c>
      <c r="D17" s="322">
        <v>0.47278299999999995</v>
      </c>
      <c r="E17" s="322">
        <v>0</v>
      </c>
    </row>
    <row r="18" spans="1:5" s="318" customFormat="1" ht="12.75" customHeight="1">
      <c r="A18" s="319" t="s">
        <v>157</v>
      </c>
      <c r="B18" s="320" t="s">
        <v>285</v>
      </c>
      <c r="C18" s="321">
        <v>411763.68</v>
      </c>
      <c r="D18" s="322">
        <v>4.443519</v>
      </c>
      <c r="E18" s="322">
        <v>0</v>
      </c>
    </row>
    <row r="19" spans="1:5" s="318" customFormat="1" ht="12.75" customHeight="1">
      <c r="A19" s="319" t="s">
        <v>163</v>
      </c>
      <c r="B19" s="320" t="s">
        <v>291</v>
      </c>
      <c r="C19" s="321">
        <v>40752.33</v>
      </c>
      <c r="D19" s="322">
        <v>0</v>
      </c>
      <c r="E19" s="322">
        <v>0</v>
      </c>
    </row>
    <row r="20" spans="1:5" s="318" customFormat="1" ht="12.75" customHeight="1">
      <c r="A20" s="319" t="s">
        <v>300</v>
      </c>
      <c r="B20" s="320" t="s">
        <v>301</v>
      </c>
      <c r="C20" s="321">
        <v>34312.23</v>
      </c>
      <c r="D20" s="322">
        <v>0</v>
      </c>
      <c r="E20" s="322">
        <v>0</v>
      </c>
    </row>
    <row r="21" spans="1:5" s="318" customFormat="1" ht="12.75" customHeight="1">
      <c r="A21" s="314" t="s">
        <v>266</v>
      </c>
      <c r="B21" s="315" t="s">
        <v>304</v>
      </c>
      <c r="C21" s="316">
        <v>84257.18</v>
      </c>
      <c r="D21" s="317">
        <v>0</v>
      </c>
      <c r="E21" s="317">
        <v>0</v>
      </c>
    </row>
    <row r="22" spans="1:5" s="318" customFormat="1" ht="12.75" customHeight="1">
      <c r="A22" s="319" t="s">
        <v>305</v>
      </c>
      <c r="B22" s="320" t="s">
        <v>306</v>
      </c>
      <c r="C22" s="321">
        <v>84257.18</v>
      </c>
      <c r="D22" s="322">
        <v>0</v>
      </c>
      <c r="E22" s="322">
        <v>0</v>
      </c>
    </row>
    <row r="23" spans="2:5" s="323" customFormat="1" ht="12.75" customHeight="1">
      <c r="B23" s="324" t="s">
        <v>124</v>
      </c>
      <c r="C23" s="325">
        <v>1201415.02</v>
      </c>
      <c r="D23" s="326">
        <v>217.1662954</v>
      </c>
      <c r="E23" s="326">
        <v>69.1768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6" sqref="A36:IV36"/>
      <selection pane="bottomLeft" activeCell="A36" sqref="A36:IV36"/>
    </sheetView>
  </sheetViews>
  <sheetFormatPr defaultColWidth="9.140625" defaultRowHeight="11.25" customHeight="1"/>
  <cols>
    <col min="1" max="1" width="9.574218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7.25" customHeight="1">
      <c r="A2" s="340" t="s">
        <v>72</v>
      </c>
      <c r="B2" s="341" t="s">
        <v>990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">
        <v>502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">
        <v>503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">
        <v>215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H15+H39+H44+H51+H59+H64</f>
        <v>0</v>
      </c>
      <c r="I14" s="446"/>
      <c r="J14" s="448" t="e">
        <f>J15+J29+#REF!+#REF!+#REF!+#REF!</f>
        <v>#REF!</v>
      </c>
      <c r="K14" s="446"/>
      <c r="L14" s="448" t="e">
        <f>L15+L29+#REF!+#REF!+#REF!+#REF!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SUM(H16:H38)</f>
        <v>0</v>
      </c>
      <c r="I15" s="446"/>
      <c r="J15" s="448">
        <f>SUM(J16:J28)</f>
        <v>188.72002499999996</v>
      </c>
      <c r="K15" s="446"/>
      <c r="L15" s="448">
        <f>SUM(L16:L28)</f>
        <v>30.5456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10</v>
      </c>
      <c r="C16" s="419" t="s">
        <v>757</v>
      </c>
      <c r="D16" s="451" t="s">
        <v>246</v>
      </c>
      <c r="E16" s="400" t="s">
        <v>247</v>
      </c>
      <c r="F16" s="401">
        <v>56.15</v>
      </c>
      <c r="G16" s="402"/>
      <c r="H16" s="402">
        <f aca="true" t="shared" si="0" ref="H16:H38">ROUND(F16*G16,2)</f>
        <v>0</v>
      </c>
      <c r="I16" s="449">
        <v>0</v>
      </c>
      <c r="J16" s="401">
        <f aca="true" t="shared" si="1" ref="J16:J28">F16*I16</f>
        <v>0</v>
      </c>
      <c r="K16" s="449">
        <v>0.235</v>
      </c>
      <c r="L16" s="401">
        <f aca="true" t="shared" si="2" ref="L16:L28">F16*K16</f>
        <v>13.19525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10</v>
      </c>
      <c r="C17" s="419" t="s">
        <v>758</v>
      </c>
      <c r="D17" s="451" t="s">
        <v>248</v>
      </c>
      <c r="E17" s="400" t="s">
        <v>247</v>
      </c>
      <c r="F17" s="401">
        <v>56.15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0.181</v>
      </c>
      <c r="L17" s="401">
        <f t="shared" si="2"/>
        <v>10.16315</v>
      </c>
      <c r="M17" s="450">
        <f aca="true" t="shared" si="3" ref="M17:M38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10</v>
      </c>
      <c r="C18" s="419" t="s">
        <v>759</v>
      </c>
      <c r="D18" s="451" t="s">
        <v>249</v>
      </c>
      <c r="E18" s="400" t="s">
        <v>247</v>
      </c>
      <c r="F18" s="401">
        <v>56.15</v>
      </c>
      <c r="G18" s="402"/>
      <c r="H18" s="402">
        <f t="shared" si="0"/>
        <v>0</v>
      </c>
      <c r="I18" s="449">
        <v>2E-05</v>
      </c>
      <c r="J18" s="401">
        <f t="shared" si="1"/>
        <v>0.001123</v>
      </c>
      <c r="K18" s="449">
        <v>0.128</v>
      </c>
      <c r="L18" s="401">
        <f t="shared" si="2"/>
        <v>7.1872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10</v>
      </c>
      <c r="C19" s="419" t="s">
        <v>760</v>
      </c>
      <c r="D19" s="451" t="s">
        <v>250</v>
      </c>
      <c r="E19" s="400" t="s">
        <v>247</v>
      </c>
      <c r="F19" s="401">
        <v>112.3</v>
      </c>
      <c r="G19" s="402"/>
      <c r="H19" s="402">
        <f t="shared" si="0"/>
        <v>0</v>
      </c>
      <c r="I19" s="449">
        <v>4E-05</v>
      </c>
      <c r="J19" s="401">
        <f t="shared" si="1"/>
        <v>0.004492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10</v>
      </c>
      <c r="C20" s="419" t="s">
        <v>834</v>
      </c>
      <c r="D20" s="451" t="s">
        <v>454</v>
      </c>
      <c r="E20" s="400" t="s">
        <v>252</v>
      </c>
      <c r="F20" s="401">
        <v>336</v>
      </c>
      <c r="G20" s="402"/>
      <c r="H20" s="402">
        <f t="shared" si="0"/>
        <v>0</v>
      </c>
      <c r="I20" s="449">
        <v>0.00868</v>
      </c>
      <c r="J20" s="401">
        <f t="shared" si="1"/>
        <v>2.91648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10</v>
      </c>
      <c r="C21" s="419" t="s">
        <v>835</v>
      </c>
      <c r="D21" s="451" t="s">
        <v>455</v>
      </c>
      <c r="E21" s="400" t="s">
        <v>254</v>
      </c>
      <c r="F21" s="401">
        <v>14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10</v>
      </c>
      <c r="C22" s="419" t="s">
        <v>763</v>
      </c>
      <c r="D22" s="451" t="s">
        <v>255</v>
      </c>
      <c r="E22" s="400" t="s">
        <v>256</v>
      </c>
      <c r="F22" s="401">
        <v>27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8">
        <v>10</v>
      </c>
      <c r="C23" s="419" t="s">
        <v>877</v>
      </c>
      <c r="D23" s="451" t="s">
        <v>313</v>
      </c>
      <c r="E23" s="400" t="s">
        <v>256</v>
      </c>
      <c r="F23" s="401">
        <v>27</v>
      </c>
      <c r="G23" s="402"/>
      <c r="H23" s="402">
        <f t="shared" si="0"/>
        <v>0</v>
      </c>
      <c r="I23" s="449">
        <v>0.00199</v>
      </c>
      <c r="J23" s="401">
        <f t="shared" si="1"/>
        <v>0.05373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10</v>
      </c>
      <c r="C24" s="419" t="s">
        <v>765</v>
      </c>
      <c r="D24" s="451" t="s">
        <v>351</v>
      </c>
      <c r="E24" s="400" t="s">
        <v>258</v>
      </c>
      <c r="F24" s="401">
        <v>11.23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169</v>
      </c>
      <c r="B25" s="408">
        <v>10</v>
      </c>
      <c r="C25" s="419" t="s">
        <v>788</v>
      </c>
      <c r="D25" s="451" t="s">
        <v>257</v>
      </c>
      <c r="E25" s="400" t="s">
        <v>258</v>
      </c>
      <c r="F25" s="401">
        <v>185.295</v>
      </c>
      <c r="G25" s="402"/>
      <c r="H25" s="402">
        <f t="shared" si="0"/>
        <v>0</v>
      </c>
      <c r="I25" s="449">
        <v>0</v>
      </c>
      <c r="J25" s="401">
        <f t="shared" si="1"/>
        <v>0</v>
      </c>
      <c r="K25" s="449">
        <v>0</v>
      </c>
      <c r="L25" s="401">
        <f t="shared" si="2"/>
        <v>0</v>
      </c>
      <c r="M25" s="450">
        <f t="shared" si="3"/>
        <v>21</v>
      </c>
      <c r="N25" s="334">
        <v>4</v>
      </c>
      <c r="O25" s="196" t="s">
        <v>161</v>
      </c>
    </row>
    <row r="26" spans="1:15" s="196" customFormat="1" ht="13.5" customHeight="1">
      <c r="A26" s="400" t="s">
        <v>174</v>
      </c>
      <c r="B26" s="408">
        <v>10</v>
      </c>
      <c r="C26" s="419" t="s">
        <v>767</v>
      </c>
      <c r="D26" s="451" t="s">
        <v>259</v>
      </c>
      <c r="E26" s="400" t="s">
        <v>258</v>
      </c>
      <c r="F26" s="401">
        <v>185.295</v>
      </c>
      <c r="G26" s="402"/>
      <c r="H26" s="402">
        <f t="shared" si="0"/>
        <v>0</v>
      </c>
      <c r="I26" s="449">
        <v>1</v>
      </c>
      <c r="J26" s="401">
        <f t="shared" si="1"/>
        <v>185.295</v>
      </c>
      <c r="K26" s="449">
        <v>0</v>
      </c>
      <c r="L26" s="401">
        <f t="shared" si="2"/>
        <v>0</v>
      </c>
      <c r="M26" s="450">
        <f t="shared" si="3"/>
        <v>21</v>
      </c>
      <c r="N26" s="336">
        <v>8</v>
      </c>
      <c r="O26" s="335" t="s">
        <v>161</v>
      </c>
    </row>
    <row r="27" spans="1:15" s="196" customFormat="1" ht="13.5" customHeight="1">
      <c r="A27" s="400" t="s">
        <v>186</v>
      </c>
      <c r="B27" s="408">
        <v>10</v>
      </c>
      <c r="C27" s="419" t="s">
        <v>878</v>
      </c>
      <c r="D27" s="451" t="s">
        <v>504</v>
      </c>
      <c r="E27" s="400" t="s">
        <v>247</v>
      </c>
      <c r="F27" s="401">
        <v>449.2</v>
      </c>
      <c r="G27" s="402"/>
      <c r="H27" s="402">
        <f t="shared" si="0"/>
        <v>0</v>
      </c>
      <c r="I27" s="449">
        <v>0</v>
      </c>
      <c r="J27" s="401">
        <f t="shared" si="1"/>
        <v>0</v>
      </c>
      <c r="K27" s="449">
        <v>0</v>
      </c>
      <c r="L27" s="401">
        <f t="shared" si="2"/>
        <v>0</v>
      </c>
      <c r="M27" s="450">
        <f t="shared" si="3"/>
        <v>21</v>
      </c>
      <c r="N27" s="334">
        <v>4</v>
      </c>
      <c r="O27" s="196" t="s">
        <v>161</v>
      </c>
    </row>
    <row r="28" spans="1:15" s="196" customFormat="1" ht="13.5" customHeight="1">
      <c r="A28" s="400" t="s">
        <v>159</v>
      </c>
      <c r="B28" s="408">
        <v>10</v>
      </c>
      <c r="C28" s="419" t="s">
        <v>879</v>
      </c>
      <c r="D28" s="451" t="s">
        <v>505</v>
      </c>
      <c r="E28" s="400" t="s">
        <v>247</v>
      </c>
      <c r="F28" s="401">
        <v>449.2</v>
      </c>
      <c r="G28" s="402"/>
      <c r="H28" s="402">
        <f t="shared" si="0"/>
        <v>0</v>
      </c>
      <c r="I28" s="449">
        <v>0.001</v>
      </c>
      <c r="J28" s="401">
        <f t="shared" si="1"/>
        <v>0.4492</v>
      </c>
      <c r="K28" s="449">
        <v>0</v>
      </c>
      <c r="L28" s="401">
        <f t="shared" si="2"/>
        <v>0</v>
      </c>
      <c r="M28" s="450">
        <f t="shared" si="3"/>
        <v>21</v>
      </c>
      <c r="N28" s="336">
        <v>8</v>
      </c>
      <c r="O28" s="335" t="s">
        <v>161</v>
      </c>
    </row>
    <row r="29" spans="1:15" s="318" customFormat="1" ht="13.5" customHeight="1">
      <c r="A29" s="400" t="s">
        <v>165</v>
      </c>
      <c r="B29" s="408">
        <v>10</v>
      </c>
      <c r="C29" s="419" t="s">
        <v>770</v>
      </c>
      <c r="D29" s="451" t="s">
        <v>262</v>
      </c>
      <c r="E29" s="400" t="s">
        <v>258</v>
      </c>
      <c r="F29" s="401">
        <v>101.912</v>
      </c>
      <c r="G29" s="402"/>
      <c r="H29" s="402">
        <f t="shared" si="0"/>
        <v>0</v>
      </c>
      <c r="I29" s="446"/>
      <c r="J29" s="448">
        <f>SUM(J30:J31)</f>
        <v>0</v>
      </c>
      <c r="K29" s="446"/>
      <c r="L29" s="448">
        <f>SUM(L30:L31)</f>
        <v>0</v>
      </c>
      <c r="M29" s="450">
        <f t="shared" si="3"/>
        <v>21</v>
      </c>
      <c r="O29" s="320" t="s">
        <v>154</v>
      </c>
    </row>
    <row r="30" spans="1:15" s="196" customFormat="1" ht="24.75" customHeight="1">
      <c r="A30" s="400" t="s">
        <v>171</v>
      </c>
      <c r="B30" s="408">
        <v>10</v>
      </c>
      <c r="C30" s="419" t="s">
        <v>771</v>
      </c>
      <c r="D30" s="451" t="s">
        <v>431</v>
      </c>
      <c r="E30" s="400" t="s">
        <v>258</v>
      </c>
      <c r="F30" s="401">
        <v>162.797</v>
      </c>
      <c r="G30" s="402"/>
      <c r="H30" s="402">
        <f t="shared" si="0"/>
        <v>0</v>
      </c>
      <c r="I30" s="449">
        <v>0</v>
      </c>
      <c r="J30" s="401">
        <f aca="true" t="shared" si="4" ref="J30:J37">F30*I30</f>
        <v>0</v>
      </c>
      <c r="K30" s="449">
        <v>0</v>
      </c>
      <c r="L30" s="401">
        <f aca="true" t="shared" si="5" ref="L30:L37">F30*K30</f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8">
        <v>10</v>
      </c>
      <c r="C31" s="419" t="s">
        <v>772</v>
      </c>
      <c r="D31" s="451" t="s">
        <v>264</v>
      </c>
      <c r="E31" s="400" t="s">
        <v>258</v>
      </c>
      <c r="F31" s="401">
        <v>162.797</v>
      </c>
      <c r="G31" s="402"/>
      <c r="H31" s="402">
        <f t="shared" si="0"/>
        <v>0</v>
      </c>
      <c r="I31" s="449">
        <v>0</v>
      </c>
      <c r="J31" s="401">
        <f t="shared" si="4"/>
        <v>0</v>
      </c>
      <c r="K31" s="449">
        <v>0</v>
      </c>
      <c r="L31" s="401">
        <f t="shared" si="5"/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13.5" customHeight="1">
      <c r="A32" s="400" t="s">
        <v>179</v>
      </c>
      <c r="B32" s="408">
        <v>10</v>
      </c>
      <c r="C32" s="419" t="s">
        <v>774</v>
      </c>
      <c r="D32" s="451" t="s">
        <v>265</v>
      </c>
      <c r="E32" s="400" t="s">
        <v>258</v>
      </c>
      <c r="F32" s="401">
        <v>165.148</v>
      </c>
      <c r="G32" s="402"/>
      <c r="H32" s="402">
        <f t="shared" si="0"/>
        <v>0</v>
      </c>
      <c r="I32" s="449">
        <v>0.024</v>
      </c>
      <c r="J32" s="401">
        <f t="shared" si="4"/>
        <v>3.963552</v>
      </c>
      <c r="K32" s="449">
        <v>0</v>
      </c>
      <c r="L32" s="401">
        <f t="shared" si="5"/>
        <v>0</v>
      </c>
      <c r="M32" s="450">
        <f t="shared" si="3"/>
        <v>21</v>
      </c>
      <c r="N32" s="336">
        <v>8</v>
      </c>
      <c r="O32" s="335" t="s">
        <v>161</v>
      </c>
    </row>
    <row r="33" spans="1:15" s="196" customFormat="1" ht="13.5" customHeight="1">
      <c r="A33" s="400" t="s">
        <v>182</v>
      </c>
      <c r="B33" s="408">
        <v>10</v>
      </c>
      <c r="C33" s="419" t="s">
        <v>775</v>
      </c>
      <c r="D33" s="451" t="s">
        <v>267</v>
      </c>
      <c r="E33" s="400" t="s">
        <v>268</v>
      </c>
      <c r="F33" s="401">
        <v>109.268</v>
      </c>
      <c r="G33" s="402"/>
      <c r="H33" s="402">
        <f t="shared" si="0"/>
        <v>0</v>
      </c>
      <c r="I33" s="449">
        <v>0</v>
      </c>
      <c r="J33" s="401">
        <f t="shared" si="4"/>
        <v>0</v>
      </c>
      <c r="K33" s="449">
        <v>0</v>
      </c>
      <c r="L33" s="401">
        <f t="shared" si="5"/>
        <v>0</v>
      </c>
      <c r="M33" s="450">
        <f t="shared" si="3"/>
        <v>21</v>
      </c>
      <c r="N33" s="334">
        <v>4</v>
      </c>
      <c r="O33" s="196" t="s">
        <v>161</v>
      </c>
    </row>
    <row r="34" spans="1:15" s="196" customFormat="1" ht="24.75" customHeight="1">
      <c r="A34" s="400" t="s">
        <v>188</v>
      </c>
      <c r="B34" s="408">
        <v>10</v>
      </c>
      <c r="C34" s="419" t="s">
        <v>800</v>
      </c>
      <c r="D34" s="451" t="s">
        <v>269</v>
      </c>
      <c r="E34" s="400" t="s">
        <v>258</v>
      </c>
      <c r="F34" s="401">
        <v>49.435</v>
      </c>
      <c r="G34" s="402"/>
      <c r="H34" s="402">
        <f t="shared" si="0"/>
        <v>0</v>
      </c>
      <c r="I34" s="449">
        <v>0</v>
      </c>
      <c r="J34" s="401">
        <f t="shared" si="4"/>
        <v>0</v>
      </c>
      <c r="K34" s="449">
        <v>0</v>
      </c>
      <c r="L34" s="401">
        <f t="shared" si="5"/>
        <v>0</v>
      </c>
      <c r="M34" s="450">
        <f t="shared" si="3"/>
        <v>21</v>
      </c>
      <c r="N34" s="334">
        <v>4</v>
      </c>
      <c r="O34" s="196" t="s">
        <v>161</v>
      </c>
    </row>
    <row r="35" spans="1:15" s="196" customFormat="1" ht="13.5" customHeight="1">
      <c r="A35" s="400" t="s">
        <v>190</v>
      </c>
      <c r="B35" s="408">
        <v>10</v>
      </c>
      <c r="C35" s="419" t="s">
        <v>880</v>
      </c>
      <c r="D35" s="451" t="s">
        <v>506</v>
      </c>
      <c r="E35" s="400" t="s">
        <v>268</v>
      </c>
      <c r="F35" s="401">
        <v>94.668</v>
      </c>
      <c r="G35" s="402"/>
      <c r="H35" s="402">
        <f t="shared" si="0"/>
        <v>0</v>
      </c>
      <c r="I35" s="449">
        <v>0</v>
      </c>
      <c r="J35" s="401">
        <f t="shared" si="4"/>
        <v>0</v>
      </c>
      <c r="K35" s="449">
        <v>0</v>
      </c>
      <c r="L35" s="401">
        <f t="shared" si="5"/>
        <v>0</v>
      </c>
      <c r="M35" s="450">
        <f t="shared" si="3"/>
        <v>21</v>
      </c>
      <c r="N35" s="334">
        <v>4</v>
      </c>
      <c r="O35" s="196" t="s">
        <v>161</v>
      </c>
    </row>
    <row r="36" spans="1:15" s="196" customFormat="1" ht="24.75" customHeight="1">
      <c r="A36" s="400" t="s">
        <v>192</v>
      </c>
      <c r="B36" s="408">
        <v>10</v>
      </c>
      <c r="C36" s="419" t="s">
        <v>776</v>
      </c>
      <c r="D36" s="451" t="s">
        <v>354</v>
      </c>
      <c r="E36" s="400" t="s">
        <v>247</v>
      </c>
      <c r="F36" s="401">
        <v>56.15</v>
      </c>
      <c r="G36" s="402"/>
      <c r="H36" s="402">
        <f t="shared" si="0"/>
        <v>0</v>
      </c>
      <c r="I36" s="449">
        <v>0</v>
      </c>
      <c r="J36" s="401">
        <f t="shared" si="4"/>
        <v>0</v>
      </c>
      <c r="K36" s="449">
        <v>0</v>
      </c>
      <c r="L36" s="401">
        <f t="shared" si="5"/>
        <v>0</v>
      </c>
      <c r="M36" s="450">
        <f t="shared" si="3"/>
        <v>21</v>
      </c>
      <c r="N36" s="334">
        <v>4</v>
      </c>
      <c r="O36" s="196" t="s">
        <v>161</v>
      </c>
    </row>
    <row r="37" spans="1:15" s="196" customFormat="1" ht="13.5" customHeight="1">
      <c r="A37" s="400" t="s">
        <v>194</v>
      </c>
      <c r="B37" s="408">
        <v>10</v>
      </c>
      <c r="C37" s="419" t="s">
        <v>778</v>
      </c>
      <c r="D37" s="451" t="s">
        <v>355</v>
      </c>
      <c r="E37" s="400" t="s">
        <v>247</v>
      </c>
      <c r="F37" s="401">
        <v>56.15</v>
      </c>
      <c r="G37" s="402"/>
      <c r="H37" s="402">
        <f t="shared" si="0"/>
        <v>0</v>
      </c>
      <c r="I37" s="449">
        <v>0</v>
      </c>
      <c r="J37" s="401">
        <f t="shared" si="4"/>
        <v>0</v>
      </c>
      <c r="K37" s="449">
        <v>0</v>
      </c>
      <c r="L37" s="401">
        <f t="shared" si="5"/>
        <v>0</v>
      </c>
      <c r="M37" s="450">
        <f t="shared" si="3"/>
        <v>21</v>
      </c>
      <c r="N37" s="334">
        <v>4</v>
      </c>
      <c r="O37" s="196" t="s">
        <v>161</v>
      </c>
    </row>
    <row r="38" spans="1:15" s="318" customFormat="1" ht="13.5" customHeight="1">
      <c r="A38" s="400" t="s">
        <v>198</v>
      </c>
      <c r="B38" s="408">
        <v>10</v>
      </c>
      <c r="C38" s="419" t="s">
        <v>779</v>
      </c>
      <c r="D38" s="451" t="s">
        <v>356</v>
      </c>
      <c r="E38" s="400" t="s">
        <v>357</v>
      </c>
      <c r="F38" s="401">
        <v>1.404</v>
      </c>
      <c r="G38" s="402"/>
      <c r="H38" s="402">
        <f t="shared" si="0"/>
        <v>0</v>
      </c>
      <c r="I38" s="446"/>
      <c r="J38" s="448">
        <f>J39</f>
        <v>0</v>
      </c>
      <c r="K38" s="446"/>
      <c r="L38" s="448">
        <f>L39</f>
        <v>0</v>
      </c>
      <c r="M38" s="450">
        <f t="shared" si="3"/>
        <v>21</v>
      </c>
      <c r="O38" s="315" t="s">
        <v>244</v>
      </c>
    </row>
    <row r="39" spans="1:15" s="318" customFormat="1" ht="13.5" customHeight="1">
      <c r="A39" s="446"/>
      <c r="B39" s="408"/>
      <c r="C39" s="446" t="s">
        <v>173</v>
      </c>
      <c r="D39" s="446" t="s">
        <v>275</v>
      </c>
      <c r="E39" s="446"/>
      <c r="F39" s="446"/>
      <c r="G39" s="446"/>
      <c r="H39" s="447">
        <f>SUM(H40:H43)</f>
        <v>0</v>
      </c>
      <c r="I39" s="446"/>
      <c r="J39" s="448">
        <f>SUM(J40:J40)</f>
        <v>0</v>
      </c>
      <c r="K39" s="446"/>
      <c r="L39" s="448">
        <f>SUM(L40:L40)</f>
        <v>0</v>
      </c>
      <c r="M39" s="450"/>
      <c r="O39" s="320" t="s">
        <v>154</v>
      </c>
    </row>
    <row r="40" spans="1:15" s="196" customFormat="1" ht="13.5" customHeight="1">
      <c r="A40" s="400" t="s">
        <v>202</v>
      </c>
      <c r="B40" s="408">
        <v>10</v>
      </c>
      <c r="C40" s="419" t="s">
        <v>881</v>
      </c>
      <c r="D40" s="451" t="s">
        <v>507</v>
      </c>
      <c r="E40" s="400" t="s">
        <v>258</v>
      </c>
      <c r="F40" s="401">
        <v>3.369</v>
      </c>
      <c r="G40" s="402"/>
      <c r="H40" s="402">
        <f>ROUND(F40*G40,2)</f>
        <v>0</v>
      </c>
      <c r="I40" s="449">
        <v>0</v>
      </c>
      <c r="J40" s="401">
        <f>F40*I40</f>
        <v>0</v>
      </c>
      <c r="K40" s="449">
        <v>0</v>
      </c>
      <c r="L40" s="401">
        <f>F40*K40</f>
        <v>0</v>
      </c>
      <c r="M40" s="450">
        <f>$M$16</f>
        <v>21</v>
      </c>
      <c r="N40" s="334">
        <v>64</v>
      </c>
      <c r="O40" s="196" t="s">
        <v>161</v>
      </c>
    </row>
    <row r="41" spans="1:13" s="323" customFormat="1" ht="13.5" customHeight="1">
      <c r="A41" s="400" t="s">
        <v>204</v>
      </c>
      <c r="B41" s="408"/>
      <c r="C41" s="419" t="s">
        <v>721</v>
      </c>
      <c r="D41" s="451" t="s">
        <v>276</v>
      </c>
      <c r="E41" s="400" t="s">
        <v>258</v>
      </c>
      <c r="F41" s="401">
        <v>8.984</v>
      </c>
      <c r="G41" s="402"/>
      <c r="H41" s="402">
        <f>ROUND(F41*G41,2)</f>
        <v>0</v>
      </c>
      <c r="I41" s="399"/>
      <c r="J41" s="455" t="e">
        <f>J14+J38</f>
        <v>#REF!</v>
      </c>
      <c r="K41" s="399"/>
      <c r="L41" s="455" t="e">
        <f>L14+L38</f>
        <v>#REF!</v>
      </c>
      <c r="M41" s="450">
        <f>$M$16</f>
        <v>21</v>
      </c>
    </row>
    <row r="42" spans="1:13" ht="13.5" customHeight="1">
      <c r="A42" s="400" t="s">
        <v>205</v>
      </c>
      <c r="B42" s="408">
        <v>10</v>
      </c>
      <c r="C42" s="419" t="s">
        <v>882</v>
      </c>
      <c r="D42" s="451" t="s">
        <v>508</v>
      </c>
      <c r="E42" s="400" t="s">
        <v>258</v>
      </c>
      <c r="F42" s="401">
        <v>22.46</v>
      </c>
      <c r="G42" s="402"/>
      <c r="H42" s="402">
        <f>ROUND(F42*G42,2)</f>
        <v>0</v>
      </c>
      <c r="I42" s="453"/>
      <c r="J42" s="453"/>
      <c r="K42" s="453"/>
      <c r="L42" s="453"/>
      <c r="M42" s="450">
        <f>$M$16</f>
        <v>21</v>
      </c>
    </row>
    <row r="43" spans="1:13" ht="13.5" customHeight="1">
      <c r="A43" s="400" t="s">
        <v>209</v>
      </c>
      <c r="B43" s="408">
        <v>10</v>
      </c>
      <c r="C43" s="419" t="s">
        <v>722</v>
      </c>
      <c r="D43" s="451" t="s">
        <v>278</v>
      </c>
      <c r="E43" s="400" t="s">
        <v>247</v>
      </c>
      <c r="F43" s="401">
        <v>62.72</v>
      </c>
      <c r="G43" s="402"/>
      <c r="H43" s="402">
        <f>ROUND(F43*G43,2)</f>
        <v>0</v>
      </c>
      <c r="I43" s="453"/>
      <c r="J43" s="453"/>
      <c r="K43" s="453"/>
      <c r="L43" s="453"/>
      <c r="M43" s="450">
        <f>$M$16</f>
        <v>21</v>
      </c>
    </row>
    <row r="44" spans="1:13" ht="13.5" customHeight="1">
      <c r="A44" s="446"/>
      <c r="B44" s="408"/>
      <c r="C44" s="446" t="s">
        <v>177</v>
      </c>
      <c r="D44" s="446" t="s">
        <v>279</v>
      </c>
      <c r="E44" s="446"/>
      <c r="F44" s="446"/>
      <c r="G44" s="446"/>
      <c r="H44" s="447">
        <f>SUM(H45:H50)</f>
        <v>0</v>
      </c>
      <c r="I44" s="453"/>
      <c r="J44" s="453"/>
      <c r="K44" s="453"/>
      <c r="L44" s="453"/>
      <c r="M44" s="450"/>
    </row>
    <row r="45" spans="1:13" ht="13.5" customHeight="1">
      <c r="A45" s="400" t="s">
        <v>211</v>
      </c>
      <c r="B45" s="408">
        <v>10</v>
      </c>
      <c r="C45" s="419" t="s">
        <v>723</v>
      </c>
      <c r="D45" s="451" t="s">
        <v>280</v>
      </c>
      <c r="E45" s="400" t="s">
        <v>247</v>
      </c>
      <c r="F45" s="401">
        <v>56.15</v>
      </c>
      <c r="G45" s="402"/>
      <c r="H45" s="402">
        <f aca="true" t="shared" si="6" ref="H45:H50">ROUND(F45*G45,2)</f>
        <v>0</v>
      </c>
      <c r="I45" s="453"/>
      <c r="J45" s="453"/>
      <c r="K45" s="453"/>
      <c r="L45" s="453"/>
      <c r="M45" s="450">
        <f>$M$16</f>
        <v>21</v>
      </c>
    </row>
    <row r="46" spans="1:13" ht="24.75" customHeight="1">
      <c r="A46" s="400" t="s">
        <v>213</v>
      </c>
      <c r="B46" s="408">
        <v>10</v>
      </c>
      <c r="C46" s="419" t="s">
        <v>724</v>
      </c>
      <c r="D46" s="451" t="s">
        <v>281</v>
      </c>
      <c r="E46" s="400" t="s">
        <v>247</v>
      </c>
      <c r="F46" s="401">
        <v>56.15</v>
      </c>
      <c r="G46" s="402"/>
      <c r="H46" s="402">
        <f t="shared" si="6"/>
        <v>0</v>
      </c>
      <c r="I46" s="453"/>
      <c r="J46" s="453"/>
      <c r="K46" s="453"/>
      <c r="L46" s="453"/>
      <c r="M46" s="450">
        <f>$M$16</f>
        <v>21</v>
      </c>
    </row>
    <row r="47" spans="1:13" ht="13.5" customHeight="1">
      <c r="A47" s="400" t="s">
        <v>287</v>
      </c>
      <c r="B47" s="408">
        <v>10</v>
      </c>
      <c r="C47" s="419" t="s">
        <v>883</v>
      </c>
      <c r="D47" s="451" t="s">
        <v>509</v>
      </c>
      <c r="E47" s="400" t="s">
        <v>247</v>
      </c>
      <c r="F47" s="401">
        <v>112.3</v>
      </c>
      <c r="G47" s="402"/>
      <c r="H47" s="402">
        <f t="shared" si="6"/>
        <v>0</v>
      </c>
      <c r="I47" s="453"/>
      <c r="J47" s="453"/>
      <c r="K47" s="453"/>
      <c r="L47" s="453"/>
      <c r="M47" s="450">
        <f>$M$16</f>
        <v>21</v>
      </c>
    </row>
    <row r="48" spans="1:13" ht="13.5" customHeight="1">
      <c r="A48" s="400" t="s">
        <v>289</v>
      </c>
      <c r="B48" s="408">
        <v>10</v>
      </c>
      <c r="C48" s="419" t="s">
        <v>725</v>
      </c>
      <c r="D48" s="451" t="s">
        <v>510</v>
      </c>
      <c r="E48" s="400" t="s">
        <v>247</v>
      </c>
      <c r="F48" s="401">
        <v>112.3</v>
      </c>
      <c r="G48" s="402"/>
      <c r="H48" s="402">
        <f t="shared" si="6"/>
        <v>0</v>
      </c>
      <c r="I48" s="453"/>
      <c r="J48" s="453"/>
      <c r="K48" s="453"/>
      <c r="L48" s="453"/>
      <c r="M48" s="450">
        <f>$M$16</f>
        <v>21</v>
      </c>
    </row>
    <row r="49" spans="1:13" ht="24.75" customHeight="1">
      <c r="A49" s="400" t="s">
        <v>292</v>
      </c>
      <c r="B49" s="408">
        <v>10</v>
      </c>
      <c r="C49" s="419" t="s">
        <v>884</v>
      </c>
      <c r="D49" s="451" t="s">
        <v>511</v>
      </c>
      <c r="E49" s="400" t="s">
        <v>247</v>
      </c>
      <c r="F49" s="401">
        <v>112.3</v>
      </c>
      <c r="G49" s="402"/>
      <c r="H49" s="402">
        <f t="shared" si="6"/>
        <v>0</v>
      </c>
      <c r="I49" s="453"/>
      <c r="J49" s="453"/>
      <c r="K49" s="453"/>
      <c r="L49" s="453"/>
      <c r="M49" s="450">
        <f aca="true" t="shared" si="7" ref="M49:M69">$M$16</f>
        <v>21</v>
      </c>
    </row>
    <row r="50" spans="1:13" ht="13.5" customHeight="1">
      <c r="A50" s="400" t="s">
        <v>294</v>
      </c>
      <c r="B50" s="408">
        <v>10</v>
      </c>
      <c r="C50" s="419" t="s">
        <v>727</v>
      </c>
      <c r="D50" s="451" t="s">
        <v>284</v>
      </c>
      <c r="E50" s="400" t="s">
        <v>256</v>
      </c>
      <c r="F50" s="401">
        <v>112.3</v>
      </c>
      <c r="G50" s="402"/>
      <c r="H50" s="402">
        <f t="shared" si="6"/>
        <v>0</v>
      </c>
      <c r="I50" s="453"/>
      <c r="J50" s="453"/>
      <c r="K50" s="453"/>
      <c r="L50" s="453"/>
      <c r="M50" s="450">
        <f t="shared" si="7"/>
        <v>21</v>
      </c>
    </row>
    <row r="51" spans="1:13" ht="13.5" customHeight="1">
      <c r="A51" s="446"/>
      <c r="B51" s="408"/>
      <c r="C51" s="446" t="s">
        <v>157</v>
      </c>
      <c r="D51" s="446" t="s">
        <v>285</v>
      </c>
      <c r="E51" s="446"/>
      <c r="F51" s="446"/>
      <c r="G51" s="446"/>
      <c r="H51" s="447">
        <f>SUM(H52:H58)</f>
        <v>0</v>
      </c>
      <c r="I51" s="453"/>
      <c r="J51" s="453"/>
      <c r="K51" s="453"/>
      <c r="L51" s="453"/>
      <c r="M51" s="450"/>
    </row>
    <row r="52" spans="1:13" ht="13.5" customHeight="1">
      <c r="A52" s="400" t="s">
        <v>296</v>
      </c>
      <c r="B52" s="408">
        <v>10</v>
      </c>
      <c r="C52" s="419" t="s">
        <v>792</v>
      </c>
      <c r="D52" s="451" t="s">
        <v>404</v>
      </c>
      <c r="E52" s="400" t="s">
        <v>317</v>
      </c>
      <c r="F52" s="401">
        <v>27</v>
      </c>
      <c r="G52" s="402"/>
      <c r="H52" s="402">
        <f aca="true" t="shared" si="8" ref="H52:H58">ROUND(F52*G52,2)</f>
        <v>0</v>
      </c>
      <c r="I52" s="453"/>
      <c r="J52" s="453"/>
      <c r="K52" s="453"/>
      <c r="L52" s="453"/>
      <c r="M52" s="450">
        <f t="shared" si="7"/>
        <v>21</v>
      </c>
    </row>
    <row r="53" spans="1:13" ht="24.75" customHeight="1">
      <c r="A53" s="400" t="s">
        <v>298</v>
      </c>
      <c r="B53" s="408">
        <v>10</v>
      </c>
      <c r="C53" s="419" t="s">
        <v>804</v>
      </c>
      <c r="D53" s="451" t="s">
        <v>416</v>
      </c>
      <c r="E53" s="400" t="s">
        <v>256</v>
      </c>
      <c r="F53" s="401">
        <v>112.3</v>
      </c>
      <c r="G53" s="402"/>
      <c r="H53" s="402">
        <f t="shared" si="8"/>
        <v>0</v>
      </c>
      <c r="I53" s="453"/>
      <c r="J53" s="453"/>
      <c r="K53" s="453"/>
      <c r="L53" s="453"/>
      <c r="M53" s="450">
        <f t="shared" si="7"/>
        <v>21</v>
      </c>
    </row>
    <row r="54" spans="1:13" ht="13.5" customHeight="1">
      <c r="A54" s="400" t="s">
        <v>302</v>
      </c>
      <c r="B54" s="408">
        <v>10</v>
      </c>
      <c r="C54" s="419" t="s">
        <v>805</v>
      </c>
      <c r="D54" s="451" t="s">
        <v>417</v>
      </c>
      <c r="E54" s="400" t="s">
        <v>256</v>
      </c>
      <c r="F54" s="401">
        <v>113.985</v>
      </c>
      <c r="G54" s="402"/>
      <c r="H54" s="402">
        <f t="shared" si="8"/>
        <v>0</v>
      </c>
      <c r="I54" s="453"/>
      <c r="J54" s="453"/>
      <c r="K54" s="453"/>
      <c r="L54" s="453"/>
      <c r="M54" s="450">
        <f t="shared" si="7"/>
        <v>21</v>
      </c>
    </row>
    <row r="55" spans="1:13" ht="13.5" customHeight="1">
      <c r="A55" s="400" t="s">
        <v>307</v>
      </c>
      <c r="B55" s="408">
        <v>10</v>
      </c>
      <c r="C55" s="419" t="s">
        <v>885</v>
      </c>
      <c r="D55" s="451" t="s">
        <v>512</v>
      </c>
      <c r="E55" s="400" t="s">
        <v>256</v>
      </c>
      <c r="F55" s="401">
        <v>112.3</v>
      </c>
      <c r="G55" s="402"/>
      <c r="H55" s="402">
        <f t="shared" si="8"/>
        <v>0</v>
      </c>
      <c r="I55" s="453"/>
      <c r="J55" s="453"/>
      <c r="K55" s="453"/>
      <c r="L55" s="453"/>
      <c r="M55" s="450">
        <f t="shared" si="7"/>
        <v>21</v>
      </c>
    </row>
    <row r="56" spans="1:13" ht="13.5" customHeight="1">
      <c r="A56" s="400" t="s">
        <v>310</v>
      </c>
      <c r="B56" s="408">
        <v>10</v>
      </c>
      <c r="C56" s="419" t="s">
        <v>745</v>
      </c>
      <c r="D56" s="451" t="s">
        <v>408</v>
      </c>
      <c r="E56" s="400" t="s">
        <v>274</v>
      </c>
      <c r="F56" s="401">
        <v>10</v>
      </c>
      <c r="G56" s="402"/>
      <c r="H56" s="402">
        <f t="shared" si="8"/>
        <v>0</v>
      </c>
      <c r="I56" s="453"/>
      <c r="J56" s="453"/>
      <c r="K56" s="453"/>
      <c r="L56" s="453"/>
      <c r="M56" s="450">
        <f t="shared" si="7"/>
        <v>21</v>
      </c>
    </row>
    <row r="57" spans="1:13" ht="13.5" customHeight="1">
      <c r="A57" s="400" t="s">
        <v>322</v>
      </c>
      <c r="B57" s="408">
        <v>10</v>
      </c>
      <c r="C57" s="419" t="s">
        <v>886</v>
      </c>
      <c r="D57" s="451" t="s">
        <v>513</v>
      </c>
      <c r="E57" s="400" t="s">
        <v>274</v>
      </c>
      <c r="F57" s="401">
        <v>17</v>
      </c>
      <c r="G57" s="402"/>
      <c r="H57" s="402">
        <f t="shared" si="8"/>
        <v>0</v>
      </c>
      <c r="I57" s="453"/>
      <c r="J57" s="453"/>
      <c r="K57" s="453"/>
      <c r="L57" s="453"/>
      <c r="M57" s="450">
        <f t="shared" si="7"/>
        <v>21</v>
      </c>
    </row>
    <row r="58" spans="1:13" ht="13.5" customHeight="1">
      <c r="A58" s="400" t="s">
        <v>324</v>
      </c>
      <c r="B58" s="408">
        <v>10</v>
      </c>
      <c r="C58" s="419" t="s">
        <v>887</v>
      </c>
      <c r="D58" s="451" t="s">
        <v>514</v>
      </c>
      <c r="E58" s="400" t="s">
        <v>274</v>
      </c>
      <c r="F58" s="401">
        <v>17</v>
      </c>
      <c r="G58" s="402"/>
      <c r="H58" s="402">
        <f t="shared" si="8"/>
        <v>0</v>
      </c>
      <c r="I58" s="453"/>
      <c r="J58" s="453"/>
      <c r="K58" s="453"/>
      <c r="L58" s="453"/>
      <c r="M58" s="450">
        <f t="shared" si="7"/>
        <v>21</v>
      </c>
    </row>
    <row r="59" spans="1:13" ht="13.5" customHeight="1">
      <c r="A59" s="446"/>
      <c r="B59" s="408"/>
      <c r="C59" s="446" t="s">
        <v>163</v>
      </c>
      <c r="D59" s="446" t="s">
        <v>291</v>
      </c>
      <c r="E59" s="446"/>
      <c r="F59" s="446"/>
      <c r="G59" s="446"/>
      <c r="H59" s="447">
        <f>SUM(H60:H63)</f>
        <v>0</v>
      </c>
      <c r="I59" s="453"/>
      <c r="J59" s="453"/>
      <c r="K59" s="453"/>
      <c r="L59" s="453"/>
      <c r="M59" s="450"/>
    </row>
    <row r="60" spans="1:13" ht="13.5" customHeight="1">
      <c r="A60" s="400" t="s">
        <v>326</v>
      </c>
      <c r="B60" s="408">
        <v>10</v>
      </c>
      <c r="C60" s="419" t="s">
        <v>750</v>
      </c>
      <c r="D60" s="451" t="s">
        <v>293</v>
      </c>
      <c r="E60" s="400" t="s">
        <v>256</v>
      </c>
      <c r="F60" s="401">
        <v>112.3</v>
      </c>
      <c r="G60" s="402"/>
      <c r="H60" s="402">
        <f>ROUND(F60*G60,2)</f>
        <v>0</v>
      </c>
      <c r="I60" s="453"/>
      <c r="J60" s="453"/>
      <c r="K60" s="453"/>
      <c r="L60" s="453"/>
      <c r="M60" s="450">
        <f t="shared" si="7"/>
        <v>21</v>
      </c>
    </row>
    <row r="61" spans="1:13" ht="13.5" customHeight="1">
      <c r="A61" s="400" t="s">
        <v>328</v>
      </c>
      <c r="B61" s="408">
        <v>10</v>
      </c>
      <c r="C61" s="419" t="s">
        <v>751</v>
      </c>
      <c r="D61" s="451" t="s">
        <v>295</v>
      </c>
      <c r="E61" s="400" t="s">
        <v>268</v>
      </c>
      <c r="F61" s="401">
        <v>69.177</v>
      </c>
      <c r="G61" s="402"/>
      <c r="H61" s="402">
        <f>ROUND(F61*G61,2)</f>
        <v>0</v>
      </c>
      <c r="I61" s="453"/>
      <c r="J61" s="453"/>
      <c r="K61" s="453"/>
      <c r="L61" s="453"/>
      <c r="M61" s="450">
        <f t="shared" si="7"/>
        <v>21</v>
      </c>
    </row>
    <row r="62" spans="1:13" ht="13.5" customHeight="1">
      <c r="A62" s="400" t="s">
        <v>330</v>
      </c>
      <c r="B62" s="408">
        <v>10</v>
      </c>
      <c r="C62" s="419" t="s">
        <v>752</v>
      </c>
      <c r="D62" s="451" t="s">
        <v>297</v>
      </c>
      <c r="E62" s="400" t="s">
        <v>268</v>
      </c>
      <c r="F62" s="401">
        <v>622.593</v>
      </c>
      <c r="G62" s="402"/>
      <c r="H62" s="402">
        <f>ROUND(F62*G62,2)</f>
        <v>0</v>
      </c>
      <c r="I62" s="453"/>
      <c r="J62" s="453"/>
      <c r="K62" s="453"/>
      <c r="L62" s="453"/>
      <c r="M62" s="450">
        <f t="shared" si="7"/>
        <v>21</v>
      </c>
    </row>
    <row r="63" spans="1:13" ht="13.5" customHeight="1">
      <c r="A63" s="400" t="s">
        <v>332</v>
      </c>
      <c r="B63" s="408">
        <v>10</v>
      </c>
      <c r="C63" s="419" t="s">
        <v>832</v>
      </c>
      <c r="D63" s="451" t="s">
        <v>449</v>
      </c>
      <c r="E63" s="400" t="s">
        <v>268</v>
      </c>
      <c r="F63" s="401">
        <v>69.177</v>
      </c>
      <c r="G63" s="402"/>
      <c r="H63" s="402">
        <f>ROUND(F63*G63,2)</f>
        <v>0</v>
      </c>
      <c r="I63" s="453"/>
      <c r="J63" s="453"/>
      <c r="K63" s="453"/>
      <c r="L63" s="453"/>
      <c r="M63" s="450">
        <f t="shared" si="7"/>
        <v>21</v>
      </c>
    </row>
    <row r="64" spans="1:13" ht="13.5" customHeight="1">
      <c r="A64" s="446"/>
      <c r="B64" s="408"/>
      <c r="C64" s="446" t="s">
        <v>300</v>
      </c>
      <c r="D64" s="446" t="s">
        <v>301</v>
      </c>
      <c r="E64" s="446"/>
      <c r="F64" s="446"/>
      <c r="G64" s="446"/>
      <c r="H64" s="447">
        <f>H65</f>
        <v>0</v>
      </c>
      <c r="I64" s="453"/>
      <c r="J64" s="453"/>
      <c r="K64" s="453"/>
      <c r="L64" s="453"/>
      <c r="M64" s="450"/>
    </row>
    <row r="65" spans="1:13" ht="13.5" customHeight="1">
      <c r="A65" s="400" t="s">
        <v>334</v>
      </c>
      <c r="B65" s="408">
        <v>10</v>
      </c>
      <c r="C65" s="419" t="s">
        <v>754</v>
      </c>
      <c r="D65" s="451" t="s">
        <v>303</v>
      </c>
      <c r="E65" s="400" t="s">
        <v>268</v>
      </c>
      <c r="F65" s="401">
        <v>217.166</v>
      </c>
      <c r="G65" s="402"/>
      <c r="H65" s="402">
        <f>ROUND(F65*G65,2)</f>
        <v>0</v>
      </c>
      <c r="I65" s="453"/>
      <c r="J65" s="453"/>
      <c r="K65" s="453"/>
      <c r="L65" s="453"/>
      <c r="M65" s="450">
        <f t="shared" si="7"/>
        <v>21</v>
      </c>
    </row>
    <row r="66" spans="1:13" ht="13.5" customHeight="1">
      <c r="A66" s="446"/>
      <c r="B66" s="408"/>
      <c r="C66" s="446" t="s">
        <v>266</v>
      </c>
      <c r="D66" s="446" t="s">
        <v>304</v>
      </c>
      <c r="E66" s="446"/>
      <c r="F66" s="446"/>
      <c r="G66" s="446"/>
      <c r="H66" s="447">
        <f>H67</f>
        <v>0</v>
      </c>
      <c r="I66" s="453"/>
      <c r="J66" s="453"/>
      <c r="K66" s="453"/>
      <c r="L66" s="453"/>
      <c r="M66" s="450"/>
    </row>
    <row r="67" spans="1:13" ht="13.5" customHeight="1">
      <c r="A67" s="446"/>
      <c r="B67" s="408"/>
      <c r="C67" s="446" t="s">
        <v>305</v>
      </c>
      <c r="D67" s="446" t="s">
        <v>306</v>
      </c>
      <c r="E67" s="446"/>
      <c r="F67" s="446"/>
      <c r="G67" s="446"/>
      <c r="H67" s="447">
        <f>SUM(H68:H69)</f>
        <v>0</v>
      </c>
      <c r="I67" s="453"/>
      <c r="J67" s="453"/>
      <c r="K67" s="453"/>
      <c r="L67" s="453"/>
      <c r="M67" s="450"/>
    </row>
    <row r="68" spans="1:13" ht="13.5" customHeight="1">
      <c r="A68" s="400" t="s">
        <v>336</v>
      </c>
      <c r="B68" s="408">
        <v>10</v>
      </c>
      <c r="C68" s="419" t="s">
        <v>796</v>
      </c>
      <c r="D68" s="451" t="s">
        <v>409</v>
      </c>
      <c r="E68" s="400" t="s">
        <v>309</v>
      </c>
      <c r="F68" s="401">
        <v>27</v>
      </c>
      <c r="G68" s="402"/>
      <c r="H68" s="402">
        <f>ROUND(F68*G68,2)</f>
        <v>0</v>
      </c>
      <c r="I68" s="453"/>
      <c r="J68" s="453"/>
      <c r="K68" s="453"/>
      <c r="L68" s="453"/>
      <c r="M68" s="450">
        <f t="shared" si="7"/>
        <v>21</v>
      </c>
    </row>
    <row r="69" spans="1:13" ht="13.5" customHeight="1">
      <c r="A69" s="400" t="s">
        <v>338</v>
      </c>
      <c r="B69" s="408">
        <v>10</v>
      </c>
      <c r="C69" s="419" t="s">
        <v>798</v>
      </c>
      <c r="D69" s="451" t="s">
        <v>411</v>
      </c>
      <c r="E69" s="400" t="s">
        <v>256</v>
      </c>
      <c r="F69" s="401">
        <v>112.3</v>
      </c>
      <c r="G69" s="402"/>
      <c r="H69" s="402">
        <f>ROUND(F69*G69,2)</f>
        <v>0</v>
      </c>
      <c r="I69" s="453"/>
      <c r="J69" s="453"/>
      <c r="K69" s="453"/>
      <c r="L69" s="453"/>
      <c r="M69" s="450">
        <f t="shared" si="7"/>
        <v>21</v>
      </c>
    </row>
    <row r="70" spans="1:13" ht="13.5" customHeight="1">
      <c r="A70" s="399"/>
      <c r="B70" s="453"/>
      <c r="C70" s="399"/>
      <c r="D70" s="399" t="s">
        <v>124</v>
      </c>
      <c r="E70" s="399"/>
      <c r="F70" s="399"/>
      <c r="G70" s="399"/>
      <c r="H70" s="454">
        <f>H14+H66</f>
        <v>0</v>
      </c>
      <c r="I70" s="453"/>
      <c r="J70" s="453"/>
      <c r="K70" s="453"/>
      <c r="L70" s="453"/>
      <c r="M70" s="453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  <rowBreaks count="1" manualBreakCount="1">
    <brk id="65" max="1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V40" sqref="V40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502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106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515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110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>
        <v>48480.67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7293.29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>
        <v>233511.73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>
        <v>0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>
        <v>0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>
        <v>0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>
        <v>21894.6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>
        <v>0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>
        <f>SUM(E38:E43)</f>
        <v>303887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>
        <f>SUM(R38:R43)+J45</f>
        <v>11462.25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>
        <v>0</v>
      </c>
      <c r="F45" s="223"/>
      <c r="G45" s="267">
        <v>21</v>
      </c>
      <c r="H45" s="268" t="s">
        <v>193</v>
      </c>
      <c r="I45" s="270"/>
      <c r="J45" s="272">
        <v>4168.96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>
        <v>0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>
        <f>ROUND(E44+R44+E45+R45,2)</f>
        <v>315349.25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>
        <f>R47-O49</f>
        <v>0</v>
      </c>
      <c r="P48" s="217" t="s">
        <v>8</v>
      </c>
      <c r="Q48" s="215"/>
      <c r="R48" s="282">
        <f>ROUNDUP(O48*M48/100,2)</f>
        <v>0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>
        <v>315349.25</v>
      </c>
      <c r="P49" s="217" t="s">
        <v>8</v>
      </c>
      <c r="Q49" s="215"/>
      <c r="R49" s="252">
        <f>ROUNDUP(O49*M49/100,2)</f>
        <v>59916.36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>
        <f>R47+R48+R49</f>
        <v>375265.61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">
        <v>2</v>
      </c>
      <c r="C2" s="300"/>
      <c r="D2" s="300"/>
      <c r="E2" s="300"/>
    </row>
    <row r="3" spans="1:5" ht="12" customHeight="1">
      <c r="A3" s="298" t="s">
        <v>225</v>
      </c>
      <c r="B3" s="299" t="s">
        <v>502</v>
      </c>
      <c r="C3" s="301"/>
      <c r="D3" s="299"/>
      <c r="E3" s="302"/>
    </row>
    <row r="4" spans="1:5" ht="12" customHeight="1">
      <c r="A4" s="298" t="s">
        <v>226</v>
      </c>
      <c r="B4" s="299" t="s">
        <v>515</v>
      </c>
      <c r="C4" s="301"/>
      <c r="D4" s="299"/>
      <c r="E4" s="302"/>
    </row>
    <row r="5" spans="1:5" ht="12" customHeight="1">
      <c r="A5" s="299" t="s">
        <v>227</v>
      </c>
      <c r="B5" s="299" t="s">
        <v>215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">
        <v>215</v>
      </c>
      <c r="C7" s="301"/>
      <c r="D7" s="299"/>
      <c r="E7" s="302"/>
    </row>
    <row r="8" spans="1:5" ht="12" customHeight="1">
      <c r="A8" s="299" t="s">
        <v>12</v>
      </c>
      <c r="B8" s="299" t="s">
        <v>215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">
        <v>155</v>
      </c>
      <c r="B14" s="315" t="s">
        <v>243</v>
      </c>
      <c r="C14" s="316">
        <v>281992.4</v>
      </c>
      <c r="D14" s="317">
        <v>61.019495000000006</v>
      </c>
      <c r="E14" s="317">
        <v>19.096000000000004</v>
      </c>
    </row>
    <row r="15" spans="1:5" s="318" customFormat="1" ht="12.75" customHeight="1">
      <c r="A15" s="319" t="s">
        <v>154</v>
      </c>
      <c r="B15" s="320" t="s">
        <v>245</v>
      </c>
      <c r="C15" s="321">
        <v>126284.86000000002</v>
      </c>
      <c r="D15" s="322">
        <v>57.69746800000001</v>
      </c>
      <c r="E15" s="322">
        <v>19.096000000000004</v>
      </c>
    </row>
    <row r="16" spans="1:5" s="318" customFormat="1" ht="12.75" customHeight="1">
      <c r="A16" s="319" t="s">
        <v>173</v>
      </c>
      <c r="B16" s="320" t="s">
        <v>275</v>
      </c>
      <c r="C16" s="321">
        <v>22949.92</v>
      </c>
      <c r="D16" s="322">
        <v>1.584162</v>
      </c>
      <c r="E16" s="322">
        <v>0</v>
      </c>
    </row>
    <row r="17" spans="1:5" s="318" customFormat="1" ht="12.75" customHeight="1">
      <c r="A17" s="319" t="s">
        <v>177</v>
      </c>
      <c r="B17" s="320" t="s">
        <v>279</v>
      </c>
      <c r="C17" s="321">
        <v>28364.690000000002</v>
      </c>
      <c r="D17" s="322">
        <v>0.13051</v>
      </c>
      <c r="E17" s="322">
        <v>0</v>
      </c>
    </row>
    <row r="18" spans="1:5" s="318" customFormat="1" ht="12.75" customHeight="1">
      <c r="A18" s="319" t="s">
        <v>157</v>
      </c>
      <c r="B18" s="320" t="s">
        <v>285</v>
      </c>
      <c r="C18" s="321">
        <v>83502.43</v>
      </c>
      <c r="D18" s="322">
        <v>1.607355</v>
      </c>
      <c r="E18" s="322">
        <v>0</v>
      </c>
    </row>
    <row r="19" spans="1:5" s="318" customFormat="1" ht="12.75" customHeight="1">
      <c r="A19" s="319" t="s">
        <v>163</v>
      </c>
      <c r="B19" s="320" t="s">
        <v>291</v>
      </c>
      <c r="C19" s="321">
        <v>11249.5</v>
      </c>
      <c r="D19" s="322">
        <v>0</v>
      </c>
      <c r="E19" s="322">
        <v>0</v>
      </c>
    </row>
    <row r="20" spans="1:5" s="318" customFormat="1" ht="12.75" customHeight="1">
      <c r="A20" s="319" t="s">
        <v>300</v>
      </c>
      <c r="B20" s="320" t="s">
        <v>301</v>
      </c>
      <c r="C20" s="321">
        <v>9641</v>
      </c>
      <c r="D20" s="322">
        <v>0</v>
      </c>
      <c r="E20" s="322">
        <v>0</v>
      </c>
    </row>
    <row r="21" spans="1:5" s="318" customFormat="1" ht="12.75" customHeight="1">
      <c r="A21" s="314" t="s">
        <v>266</v>
      </c>
      <c r="B21" s="315" t="s">
        <v>304</v>
      </c>
      <c r="C21" s="316">
        <v>21894.6</v>
      </c>
      <c r="D21" s="317">
        <v>0</v>
      </c>
      <c r="E21" s="317">
        <v>0</v>
      </c>
    </row>
    <row r="22" spans="1:5" s="318" customFormat="1" ht="12.75" customHeight="1">
      <c r="A22" s="319" t="s">
        <v>305</v>
      </c>
      <c r="B22" s="320" t="s">
        <v>306</v>
      </c>
      <c r="C22" s="321">
        <v>21894.6</v>
      </c>
      <c r="D22" s="322">
        <v>0</v>
      </c>
      <c r="E22" s="322">
        <v>0</v>
      </c>
    </row>
    <row r="23" spans="2:5" s="323" customFormat="1" ht="12.75" customHeight="1">
      <c r="B23" s="324" t="s">
        <v>124</v>
      </c>
      <c r="C23" s="325">
        <v>303887</v>
      </c>
      <c r="D23" s="326">
        <v>61.019495000000006</v>
      </c>
      <c r="E23" s="326">
        <v>19.096000000000004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R33" sqref="R33"/>
    </sheetView>
  </sheetViews>
  <sheetFormatPr defaultColWidth="9.00390625" defaultRowHeight="12" customHeight="1"/>
  <cols>
    <col min="1" max="1" width="2.57421875" style="66" customWidth="1"/>
    <col min="2" max="2" width="2.140625" style="66" customWidth="1"/>
    <col min="3" max="3" width="3.28125" style="66" customWidth="1"/>
    <col min="4" max="4" width="6.7109375" style="66" customWidth="1"/>
    <col min="5" max="5" width="12.7109375" style="66" customWidth="1"/>
    <col min="6" max="6" width="0.42578125" style="66" customWidth="1"/>
    <col min="7" max="7" width="2.7109375" style="66" customWidth="1"/>
    <col min="8" max="8" width="2.57421875" style="66" customWidth="1"/>
    <col min="9" max="9" width="10.57421875" style="66" customWidth="1"/>
    <col min="10" max="10" width="13.8515625" style="66" customWidth="1"/>
    <col min="11" max="11" width="0.5625" style="66" customWidth="1"/>
    <col min="12" max="12" width="2.57421875" style="66" customWidth="1"/>
    <col min="13" max="13" width="4.00390625" style="66" customWidth="1"/>
    <col min="14" max="14" width="4.8515625" style="66" customWidth="1"/>
    <col min="15" max="15" width="3.57421875" style="66" customWidth="1"/>
    <col min="16" max="16" width="13.140625" style="66" customWidth="1"/>
    <col min="17" max="17" width="6.421875" style="66" customWidth="1"/>
    <col min="18" max="18" width="15.28125" style="66" customWidth="1"/>
    <col min="19" max="19" width="0.42578125" style="66" customWidth="1"/>
    <col min="20" max="16384" width="9.00390625" style="69" customWidth="1"/>
  </cols>
  <sheetData>
    <row r="1" spans="1:19" s="66" customFormat="1" ht="14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19" s="66" customFormat="1" ht="21" customHeight="1">
      <c r="A2" s="73"/>
      <c r="B2" s="74"/>
      <c r="C2" s="74"/>
      <c r="D2" s="74"/>
      <c r="E2" s="74"/>
      <c r="F2" s="74"/>
      <c r="G2" s="75" t="s">
        <v>125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6"/>
    </row>
    <row r="3" spans="1:19" s="66" customFormat="1" ht="14.2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4"/>
      <c r="P3" s="78"/>
      <c r="Q3" s="78"/>
      <c r="R3" s="78"/>
      <c r="S3" s="79"/>
    </row>
    <row r="4" spans="1:19" s="66" customFormat="1" ht="9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</row>
    <row r="5" spans="1:19" s="66" customFormat="1" ht="18.75" customHeight="1">
      <c r="A5" s="83"/>
      <c r="B5" s="84" t="s">
        <v>126</v>
      </c>
      <c r="C5" s="84"/>
      <c r="D5" s="84"/>
      <c r="E5" s="85" t="s">
        <v>619</v>
      </c>
      <c r="F5" s="86"/>
      <c r="G5" s="86"/>
      <c r="H5" s="86"/>
      <c r="I5" s="86"/>
      <c r="J5" s="87"/>
      <c r="K5" s="84"/>
      <c r="L5" s="84"/>
      <c r="M5" s="84"/>
      <c r="N5" s="84"/>
      <c r="O5" s="700" t="s">
        <v>127</v>
      </c>
      <c r="P5" s="700"/>
      <c r="Q5" s="85"/>
      <c r="R5" s="87"/>
      <c r="S5" s="88"/>
    </row>
    <row r="6" spans="1:19" s="66" customFormat="1" ht="18.75" customHeight="1">
      <c r="A6" s="83"/>
      <c r="B6" s="84" t="s">
        <v>128</v>
      </c>
      <c r="C6" s="84"/>
      <c r="D6" s="84"/>
      <c r="E6" s="89" t="s">
        <v>129</v>
      </c>
      <c r="F6" s="84"/>
      <c r="G6" s="84"/>
      <c r="H6" s="84"/>
      <c r="I6" s="84"/>
      <c r="J6" s="90"/>
      <c r="K6" s="84"/>
      <c r="L6" s="84"/>
      <c r="M6" s="84"/>
      <c r="N6" s="84"/>
      <c r="O6" s="700" t="s">
        <v>130</v>
      </c>
      <c r="P6" s="700"/>
      <c r="Q6" s="89"/>
      <c r="R6" s="90"/>
      <c r="S6" s="88"/>
    </row>
    <row r="7" spans="1:19" s="66" customFormat="1" ht="18.75" customHeight="1" thickBot="1">
      <c r="A7" s="83"/>
      <c r="B7" s="84" t="s">
        <v>131</v>
      </c>
      <c r="C7" s="84"/>
      <c r="D7" s="84"/>
      <c r="E7" s="91"/>
      <c r="F7" s="92"/>
      <c r="G7" s="92"/>
      <c r="H7" s="92"/>
      <c r="I7" s="92"/>
      <c r="J7" s="93"/>
      <c r="K7" s="84"/>
      <c r="L7" s="84"/>
      <c r="M7" s="84"/>
      <c r="N7" s="84"/>
      <c r="O7" s="700" t="s">
        <v>132</v>
      </c>
      <c r="P7" s="700"/>
      <c r="Q7" s="91"/>
      <c r="R7" s="93"/>
      <c r="S7" s="88"/>
    </row>
    <row r="8" spans="1:19" s="66" customFormat="1" ht="18.75" customHeight="1" thickBo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00" t="s">
        <v>14</v>
      </c>
      <c r="P8" s="700"/>
      <c r="Q8" s="84" t="s">
        <v>15</v>
      </c>
      <c r="R8" s="84"/>
      <c r="S8" s="88"/>
    </row>
    <row r="9" spans="1:19" s="66" customFormat="1" ht="18.75" customHeight="1" thickBot="1">
      <c r="A9" s="83"/>
      <c r="B9" s="84" t="s">
        <v>133</v>
      </c>
      <c r="C9" s="84"/>
      <c r="D9" s="84"/>
      <c r="E9" s="85"/>
      <c r="F9" s="86"/>
      <c r="G9" s="86"/>
      <c r="H9" s="86"/>
      <c r="I9" s="86"/>
      <c r="J9" s="87"/>
      <c r="K9" s="84"/>
      <c r="L9" s="84"/>
      <c r="M9" s="84"/>
      <c r="N9" s="84"/>
      <c r="O9" s="695"/>
      <c r="P9" s="696"/>
      <c r="Q9" s="94"/>
      <c r="R9" s="95"/>
      <c r="S9" s="88"/>
    </row>
    <row r="10" spans="1:19" s="66" customFormat="1" ht="18.75" customHeight="1" thickBot="1">
      <c r="A10" s="83"/>
      <c r="B10" s="84" t="s">
        <v>134</v>
      </c>
      <c r="C10" s="84"/>
      <c r="D10" s="84"/>
      <c r="E10" s="89"/>
      <c r="F10" s="84"/>
      <c r="G10" s="84"/>
      <c r="H10" s="84"/>
      <c r="I10" s="84"/>
      <c r="J10" s="90"/>
      <c r="K10" s="84"/>
      <c r="L10" s="84"/>
      <c r="M10" s="84"/>
      <c r="N10" s="84"/>
      <c r="O10" s="695"/>
      <c r="P10" s="696"/>
      <c r="Q10" s="94"/>
      <c r="R10" s="95"/>
      <c r="S10" s="88"/>
    </row>
    <row r="11" spans="1:19" s="66" customFormat="1" ht="18.75" customHeight="1" thickBot="1">
      <c r="A11" s="83"/>
      <c r="B11" s="84" t="s">
        <v>135</v>
      </c>
      <c r="C11" s="84"/>
      <c r="D11" s="84"/>
      <c r="E11" s="89"/>
      <c r="F11" s="84"/>
      <c r="G11" s="84"/>
      <c r="H11" s="84"/>
      <c r="I11" s="84"/>
      <c r="J11" s="90"/>
      <c r="K11" s="84"/>
      <c r="L11" s="84"/>
      <c r="M11" s="84"/>
      <c r="N11" s="84"/>
      <c r="O11" s="695"/>
      <c r="P11" s="696"/>
      <c r="Q11" s="94"/>
      <c r="R11" s="95"/>
      <c r="S11" s="88"/>
    </row>
    <row r="12" spans="1:19" s="66" customFormat="1" ht="18.75" customHeight="1" thickBot="1">
      <c r="A12" s="83"/>
      <c r="B12" s="84"/>
      <c r="C12" s="84"/>
      <c r="D12" s="84"/>
      <c r="E12" s="91"/>
      <c r="F12" s="92"/>
      <c r="G12" s="92"/>
      <c r="H12" s="92"/>
      <c r="I12" s="92"/>
      <c r="J12" s="93"/>
      <c r="K12" s="84"/>
      <c r="L12" s="84"/>
      <c r="M12" s="84"/>
      <c r="N12" s="84"/>
      <c r="O12" s="96"/>
      <c r="P12" s="96"/>
      <c r="Q12" s="96"/>
      <c r="R12" s="84"/>
      <c r="S12" s="88"/>
    </row>
    <row r="13" spans="1:19" s="66" customFormat="1" ht="18.75" customHeight="1" thickBot="1">
      <c r="A13" s="83"/>
      <c r="B13" s="84"/>
      <c r="C13" s="84"/>
      <c r="D13" s="84"/>
      <c r="E13" s="96" t="s">
        <v>136</v>
      </c>
      <c r="F13" s="84"/>
      <c r="G13" s="84" t="s">
        <v>137</v>
      </c>
      <c r="H13" s="84"/>
      <c r="I13" s="84"/>
      <c r="J13" s="84"/>
      <c r="K13" s="84"/>
      <c r="L13" s="84"/>
      <c r="M13" s="84"/>
      <c r="N13" s="84"/>
      <c r="O13" s="694" t="s">
        <v>138</v>
      </c>
      <c r="P13" s="694"/>
      <c r="Q13" s="96"/>
      <c r="R13" s="97"/>
      <c r="S13" s="88"/>
    </row>
    <row r="14" spans="1:19" s="66" customFormat="1" ht="18.75" customHeight="1" thickBot="1">
      <c r="A14" s="83"/>
      <c r="B14" s="84"/>
      <c r="C14" s="84"/>
      <c r="D14" s="84"/>
      <c r="E14" s="98"/>
      <c r="F14" s="84"/>
      <c r="G14" s="94"/>
      <c r="H14" s="99"/>
      <c r="I14" s="100"/>
      <c r="J14" s="84"/>
      <c r="K14" s="84"/>
      <c r="L14" s="84"/>
      <c r="M14" s="84"/>
      <c r="N14" s="84"/>
      <c r="O14" s="695" t="s">
        <v>139</v>
      </c>
      <c r="P14" s="696"/>
      <c r="Q14" s="96"/>
      <c r="R14" s="101"/>
      <c r="S14" s="88"/>
    </row>
    <row r="15" spans="1:19" s="66" customFormat="1" ht="9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84"/>
      <c r="P15" s="103"/>
      <c r="Q15" s="103"/>
      <c r="R15" s="103"/>
      <c r="S15" s="104"/>
    </row>
    <row r="16" spans="1:19" s="66" customFormat="1" ht="20.25" customHeight="1">
      <c r="A16" s="105"/>
      <c r="B16" s="106"/>
      <c r="C16" s="106"/>
      <c r="D16" s="106"/>
      <c r="E16" s="107" t="s">
        <v>140</v>
      </c>
      <c r="F16" s="106"/>
      <c r="G16" s="106"/>
      <c r="H16" s="106"/>
      <c r="I16" s="106"/>
      <c r="J16" s="106"/>
      <c r="K16" s="106"/>
      <c r="L16" s="106"/>
      <c r="M16" s="106"/>
      <c r="N16" s="106"/>
      <c r="O16" s="81"/>
      <c r="P16" s="106"/>
      <c r="Q16" s="106"/>
      <c r="R16" s="106"/>
      <c r="S16" s="108"/>
    </row>
    <row r="17" spans="1:19" s="66" customFormat="1" ht="21.75" customHeight="1">
      <c r="A17" s="109" t="s">
        <v>141</v>
      </c>
      <c r="B17" s="110"/>
      <c r="C17" s="110"/>
      <c r="D17" s="111"/>
      <c r="E17" s="112" t="s">
        <v>142</v>
      </c>
      <c r="F17" s="111"/>
      <c r="G17" s="112" t="s">
        <v>143</v>
      </c>
      <c r="H17" s="110"/>
      <c r="I17" s="111"/>
      <c r="J17" s="112" t="s">
        <v>144</v>
      </c>
      <c r="K17" s="110"/>
      <c r="L17" s="112" t="s">
        <v>145</v>
      </c>
      <c r="M17" s="110"/>
      <c r="N17" s="110"/>
      <c r="O17" s="110"/>
      <c r="P17" s="111"/>
      <c r="Q17" s="112" t="s">
        <v>146</v>
      </c>
      <c r="R17" s="110"/>
      <c r="S17" s="113"/>
    </row>
    <row r="18" spans="1:19" s="66" customFormat="1" ht="19.5" customHeight="1">
      <c r="A18" s="114"/>
      <c r="B18" s="115"/>
      <c r="C18" s="115"/>
      <c r="D18" s="116">
        <v>0</v>
      </c>
      <c r="E18" s="117">
        <v>0</v>
      </c>
      <c r="F18" s="118"/>
      <c r="G18" s="119"/>
      <c r="H18" s="115"/>
      <c r="I18" s="116">
        <v>0</v>
      </c>
      <c r="J18" s="117">
        <v>0</v>
      </c>
      <c r="K18" s="120"/>
      <c r="L18" s="119"/>
      <c r="M18" s="115"/>
      <c r="N18" s="115"/>
      <c r="O18" s="121"/>
      <c r="P18" s="116">
        <v>0</v>
      </c>
      <c r="Q18" s="119"/>
      <c r="R18" s="122">
        <v>0</v>
      </c>
      <c r="S18" s="123"/>
    </row>
    <row r="19" spans="1:19" s="66" customFormat="1" ht="20.25" customHeight="1">
      <c r="A19" s="105"/>
      <c r="B19" s="106"/>
      <c r="C19" s="106"/>
      <c r="D19" s="106"/>
      <c r="E19" s="107" t="s">
        <v>147</v>
      </c>
      <c r="F19" s="106"/>
      <c r="G19" s="106"/>
      <c r="H19" s="106"/>
      <c r="I19" s="106"/>
      <c r="J19" s="124" t="s">
        <v>18</v>
      </c>
      <c r="K19" s="106"/>
      <c r="L19" s="106"/>
      <c r="M19" s="106"/>
      <c r="N19" s="106"/>
      <c r="O19" s="103"/>
      <c r="P19" s="106"/>
      <c r="Q19" s="106"/>
      <c r="R19" s="106"/>
      <c r="S19" s="108"/>
    </row>
    <row r="20" spans="1:19" s="66" customFormat="1" ht="19.5" customHeight="1">
      <c r="A20" s="125" t="s">
        <v>148</v>
      </c>
      <c r="B20" s="126"/>
      <c r="C20" s="127" t="s">
        <v>149</v>
      </c>
      <c r="D20" s="128"/>
      <c r="E20" s="128"/>
      <c r="F20" s="129"/>
      <c r="G20" s="125" t="s">
        <v>150</v>
      </c>
      <c r="H20" s="130"/>
      <c r="I20" s="127" t="s">
        <v>151</v>
      </c>
      <c r="J20" s="128"/>
      <c r="K20" s="128"/>
      <c r="L20" s="125" t="s">
        <v>152</v>
      </c>
      <c r="M20" s="130"/>
      <c r="N20" s="127" t="s">
        <v>153</v>
      </c>
      <c r="O20" s="131"/>
      <c r="P20" s="128"/>
      <c r="Q20" s="128"/>
      <c r="R20" s="128"/>
      <c r="S20" s="129"/>
    </row>
    <row r="21" spans="1:19" s="66" customFormat="1" ht="19.5" customHeight="1">
      <c r="A21" s="132" t="s">
        <v>154</v>
      </c>
      <c r="B21" s="133" t="s">
        <v>155</v>
      </c>
      <c r="C21" s="134"/>
      <c r="D21" s="135" t="s">
        <v>156</v>
      </c>
      <c r="E21" s="136">
        <v>10435327.1</v>
      </c>
      <c r="F21" s="137"/>
      <c r="G21" s="132" t="s">
        <v>157</v>
      </c>
      <c r="H21" s="138" t="s">
        <v>158</v>
      </c>
      <c r="I21" s="139"/>
      <c r="J21" s="140">
        <v>0</v>
      </c>
      <c r="K21" s="141"/>
      <c r="L21" s="132" t="s">
        <v>159</v>
      </c>
      <c r="M21" s="142" t="s">
        <v>160</v>
      </c>
      <c r="N21" s="143"/>
      <c r="O21" s="143"/>
      <c r="P21" s="143"/>
      <c r="Q21" s="144"/>
      <c r="R21" s="136">
        <v>962064.47</v>
      </c>
      <c r="S21" s="137"/>
    </row>
    <row r="22" spans="1:19" s="66" customFormat="1" ht="19.5" customHeight="1">
      <c r="A22" s="132" t="s">
        <v>161</v>
      </c>
      <c r="B22" s="145"/>
      <c r="C22" s="146"/>
      <c r="D22" s="135" t="s">
        <v>162</v>
      </c>
      <c r="E22" s="136">
        <v>29209447.81</v>
      </c>
      <c r="F22" s="137"/>
      <c r="G22" s="132" t="s">
        <v>163</v>
      </c>
      <c r="H22" s="84" t="s">
        <v>164</v>
      </c>
      <c r="I22" s="139"/>
      <c r="J22" s="140">
        <v>0</v>
      </c>
      <c r="K22" s="141"/>
      <c r="L22" s="132" t="s">
        <v>165</v>
      </c>
      <c r="M22" s="142" t="s">
        <v>166</v>
      </c>
      <c r="N22" s="143"/>
      <c r="O22" s="84"/>
      <c r="P22" s="143"/>
      <c r="Q22" s="144"/>
      <c r="R22" s="136">
        <v>0</v>
      </c>
      <c r="S22" s="137"/>
    </row>
    <row r="23" spans="1:19" s="66" customFormat="1" ht="19.5" customHeight="1">
      <c r="A23" s="132" t="s">
        <v>167</v>
      </c>
      <c r="B23" s="133" t="s">
        <v>168</v>
      </c>
      <c r="C23" s="134"/>
      <c r="D23" s="135" t="s">
        <v>156</v>
      </c>
      <c r="E23" s="136">
        <v>0</v>
      </c>
      <c r="F23" s="137"/>
      <c r="G23" s="132" t="s">
        <v>169</v>
      </c>
      <c r="H23" s="138" t="s">
        <v>170</v>
      </c>
      <c r="I23" s="139"/>
      <c r="J23" s="140">
        <v>0</v>
      </c>
      <c r="K23" s="141"/>
      <c r="L23" s="132" t="s">
        <v>171</v>
      </c>
      <c r="M23" s="142" t="s">
        <v>172</v>
      </c>
      <c r="N23" s="143"/>
      <c r="O23" s="143"/>
      <c r="P23" s="143"/>
      <c r="Q23" s="144"/>
      <c r="R23" s="136">
        <v>0</v>
      </c>
      <c r="S23" s="137"/>
    </row>
    <row r="24" spans="1:19" s="66" customFormat="1" ht="19.5" customHeight="1">
      <c r="A24" s="132" t="s">
        <v>173</v>
      </c>
      <c r="B24" s="145"/>
      <c r="C24" s="146"/>
      <c r="D24" s="135" t="s">
        <v>162</v>
      </c>
      <c r="E24" s="136">
        <v>0</v>
      </c>
      <c r="F24" s="137"/>
      <c r="G24" s="132" t="s">
        <v>174</v>
      </c>
      <c r="H24" s="138"/>
      <c r="I24" s="139"/>
      <c r="J24" s="140">
        <v>0</v>
      </c>
      <c r="K24" s="141"/>
      <c r="L24" s="132" t="s">
        <v>175</v>
      </c>
      <c r="M24" s="142" t="s">
        <v>176</v>
      </c>
      <c r="N24" s="143"/>
      <c r="O24" s="84"/>
      <c r="P24" s="143"/>
      <c r="Q24" s="144"/>
      <c r="R24" s="136">
        <v>0</v>
      </c>
      <c r="S24" s="137"/>
    </row>
    <row r="25" spans="1:19" s="66" customFormat="1" ht="19.5" customHeight="1">
      <c r="A25" s="132" t="s">
        <v>177</v>
      </c>
      <c r="B25" s="133" t="s">
        <v>178</v>
      </c>
      <c r="C25" s="134"/>
      <c r="D25" s="135" t="s">
        <v>156</v>
      </c>
      <c r="E25" s="136">
        <v>0</v>
      </c>
      <c r="F25" s="137"/>
      <c r="G25" s="147"/>
      <c r="H25" s="143"/>
      <c r="I25" s="139"/>
      <c r="J25" s="140"/>
      <c r="K25" s="141"/>
      <c r="L25" s="132" t="s">
        <v>179</v>
      </c>
      <c r="M25" s="142" t="s">
        <v>180</v>
      </c>
      <c r="N25" s="143"/>
      <c r="O25" s="143"/>
      <c r="P25" s="143"/>
      <c r="Q25" s="144"/>
      <c r="R25" s="136">
        <v>0</v>
      </c>
      <c r="S25" s="137"/>
    </row>
    <row r="26" spans="1:19" s="66" customFormat="1" ht="19.5" customHeight="1">
      <c r="A26" s="132" t="s">
        <v>181</v>
      </c>
      <c r="B26" s="145"/>
      <c r="C26" s="146"/>
      <c r="D26" s="135" t="s">
        <v>162</v>
      </c>
      <c r="E26" s="136">
        <v>441244.61</v>
      </c>
      <c r="F26" s="137"/>
      <c r="G26" s="147"/>
      <c r="H26" s="143"/>
      <c r="I26" s="139"/>
      <c r="J26" s="140"/>
      <c r="K26" s="141"/>
      <c r="L26" s="132" t="s">
        <v>182</v>
      </c>
      <c r="M26" s="138" t="s">
        <v>183</v>
      </c>
      <c r="N26" s="143"/>
      <c r="O26" s="84"/>
      <c r="P26" s="143"/>
      <c r="Q26" s="139"/>
      <c r="R26" s="136">
        <v>0</v>
      </c>
      <c r="S26" s="137"/>
    </row>
    <row r="27" spans="1:19" s="66" customFormat="1" ht="19.5" customHeight="1">
      <c r="A27" s="132" t="s">
        <v>184</v>
      </c>
      <c r="B27" s="148" t="s">
        <v>185</v>
      </c>
      <c r="C27" s="143"/>
      <c r="D27" s="139"/>
      <c r="E27" s="149">
        <v>40086019.52</v>
      </c>
      <c r="F27" s="108"/>
      <c r="G27" s="132" t="s">
        <v>186</v>
      </c>
      <c r="H27" s="148" t="s">
        <v>187</v>
      </c>
      <c r="I27" s="139"/>
      <c r="J27" s="150"/>
      <c r="K27" s="151"/>
      <c r="L27" s="132" t="s">
        <v>188</v>
      </c>
      <c r="M27" s="148" t="s">
        <v>189</v>
      </c>
      <c r="N27" s="143"/>
      <c r="O27" s="143"/>
      <c r="P27" s="143"/>
      <c r="Q27" s="139"/>
      <c r="R27" s="149">
        <f>SUM(R21:R26)+J28</f>
        <v>1423100.23</v>
      </c>
      <c r="S27" s="108"/>
    </row>
    <row r="28" spans="1:19" s="66" customFormat="1" ht="19.5" customHeight="1">
      <c r="A28" s="152" t="s">
        <v>190</v>
      </c>
      <c r="B28" s="153" t="s">
        <v>191</v>
      </c>
      <c r="C28" s="154"/>
      <c r="D28" s="155"/>
      <c r="E28" s="156">
        <v>0</v>
      </c>
      <c r="F28" s="104"/>
      <c r="G28" s="152" t="s">
        <v>192</v>
      </c>
      <c r="H28" s="153" t="s">
        <v>193</v>
      </c>
      <c r="I28" s="155"/>
      <c r="J28" s="157">
        <v>461035.76</v>
      </c>
      <c r="K28" s="158"/>
      <c r="L28" s="152" t="s">
        <v>194</v>
      </c>
      <c r="M28" s="153" t="s">
        <v>195</v>
      </c>
      <c r="N28" s="154"/>
      <c r="O28" s="103"/>
      <c r="P28" s="154"/>
      <c r="Q28" s="155"/>
      <c r="R28" s="156">
        <v>0</v>
      </c>
      <c r="S28" s="104"/>
    </row>
    <row r="29" spans="1:19" s="66" customFormat="1" ht="19.5" customHeight="1">
      <c r="A29" s="159" t="s">
        <v>134</v>
      </c>
      <c r="B29" s="81"/>
      <c r="C29" s="81"/>
      <c r="D29" s="81"/>
      <c r="E29" s="81"/>
      <c r="F29" s="160"/>
      <c r="G29" s="161"/>
      <c r="H29" s="81"/>
      <c r="I29" s="81"/>
      <c r="J29" s="81"/>
      <c r="K29" s="81"/>
      <c r="L29" s="125" t="s">
        <v>196</v>
      </c>
      <c r="M29" s="111"/>
      <c r="N29" s="127" t="s">
        <v>197</v>
      </c>
      <c r="O29" s="84"/>
      <c r="P29" s="110"/>
      <c r="Q29" s="110"/>
      <c r="R29" s="110"/>
      <c r="S29" s="113"/>
    </row>
    <row r="30" spans="1:19" s="66" customFormat="1" ht="19.5" customHeight="1">
      <c r="A30" s="83"/>
      <c r="B30" s="84"/>
      <c r="C30" s="84"/>
      <c r="D30" s="84"/>
      <c r="E30" s="84"/>
      <c r="F30" s="162"/>
      <c r="G30" s="163"/>
      <c r="H30" s="84"/>
      <c r="I30" s="84"/>
      <c r="J30" s="84"/>
      <c r="K30" s="84"/>
      <c r="L30" s="132" t="s">
        <v>198</v>
      </c>
      <c r="M30" s="138" t="s">
        <v>199</v>
      </c>
      <c r="N30" s="143"/>
      <c r="O30" s="143"/>
      <c r="P30" s="143"/>
      <c r="Q30" s="139"/>
      <c r="R30" s="149">
        <v>41509119.75</v>
      </c>
      <c r="S30" s="108"/>
    </row>
    <row r="31" spans="1:19" s="66" customFormat="1" ht="19.5" customHeight="1">
      <c r="A31" s="164" t="s">
        <v>200</v>
      </c>
      <c r="B31" s="165"/>
      <c r="C31" s="165"/>
      <c r="D31" s="165"/>
      <c r="E31" s="165"/>
      <c r="F31" s="146"/>
      <c r="G31" s="166" t="s">
        <v>201</v>
      </c>
      <c r="H31" s="165"/>
      <c r="I31" s="165"/>
      <c r="J31" s="165"/>
      <c r="K31" s="165"/>
      <c r="L31" s="132" t="s">
        <v>202</v>
      </c>
      <c r="M31" s="142" t="s">
        <v>8</v>
      </c>
      <c r="N31" s="167">
        <v>9</v>
      </c>
      <c r="O31" s="96" t="s">
        <v>203</v>
      </c>
      <c r="P31" s="697">
        <v>0</v>
      </c>
      <c r="Q31" s="694"/>
      <c r="R31" s="168">
        <v>0</v>
      </c>
      <c r="S31" s="169"/>
    </row>
    <row r="32" spans="1:19" s="66" customFormat="1" ht="20.25" customHeight="1" thickBot="1">
      <c r="A32" s="170" t="s">
        <v>133</v>
      </c>
      <c r="B32" s="171"/>
      <c r="C32" s="171"/>
      <c r="D32" s="171"/>
      <c r="E32" s="171"/>
      <c r="F32" s="134"/>
      <c r="G32" s="172"/>
      <c r="H32" s="171"/>
      <c r="I32" s="171"/>
      <c r="J32" s="171"/>
      <c r="K32" s="171"/>
      <c r="L32" s="132" t="s">
        <v>204</v>
      </c>
      <c r="M32" s="142" t="s">
        <v>8</v>
      </c>
      <c r="N32" s="167">
        <v>19</v>
      </c>
      <c r="O32" s="173" t="s">
        <v>203</v>
      </c>
      <c r="P32" s="698">
        <v>41509119.75</v>
      </c>
      <c r="Q32" s="699"/>
      <c r="R32" s="136">
        <v>7886732.8</v>
      </c>
      <c r="S32" s="137"/>
    </row>
    <row r="33" spans="1:19" s="66" customFormat="1" ht="20.25" customHeight="1" thickBot="1">
      <c r="A33" s="83"/>
      <c r="B33" s="84"/>
      <c r="C33" s="84"/>
      <c r="D33" s="84"/>
      <c r="E33" s="84"/>
      <c r="F33" s="162"/>
      <c r="G33" s="163"/>
      <c r="H33" s="84"/>
      <c r="I33" s="84"/>
      <c r="J33" s="84"/>
      <c r="K33" s="84"/>
      <c r="L33" s="152" t="s">
        <v>205</v>
      </c>
      <c r="M33" s="174" t="s">
        <v>206</v>
      </c>
      <c r="N33" s="154"/>
      <c r="O33" s="84"/>
      <c r="P33" s="154"/>
      <c r="Q33" s="155"/>
      <c r="R33" s="175">
        <v>49395852.55</v>
      </c>
      <c r="S33" s="95"/>
    </row>
    <row r="34" spans="1:19" s="66" customFormat="1" ht="19.5" customHeight="1">
      <c r="A34" s="164" t="s">
        <v>200</v>
      </c>
      <c r="B34" s="165"/>
      <c r="C34" s="165"/>
      <c r="D34" s="165"/>
      <c r="E34" s="165"/>
      <c r="F34" s="146"/>
      <c r="G34" s="166" t="s">
        <v>201</v>
      </c>
      <c r="H34" s="165"/>
      <c r="I34" s="165"/>
      <c r="J34" s="165"/>
      <c r="K34" s="165"/>
      <c r="L34" s="125" t="s">
        <v>207</v>
      </c>
      <c r="M34" s="111"/>
      <c r="N34" s="127" t="s">
        <v>208</v>
      </c>
      <c r="O34" s="81"/>
      <c r="P34" s="110"/>
      <c r="Q34" s="110"/>
      <c r="R34" s="176"/>
      <c r="S34" s="113"/>
    </row>
    <row r="35" spans="1:19" s="66" customFormat="1" ht="20.25" customHeight="1">
      <c r="A35" s="170" t="s">
        <v>135</v>
      </c>
      <c r="B35" s="171"/>
      <c r="C35" s="171"/>
      <c r="D35" s="171"/>
      <c r="E35" s="171"/>
      <c r="F35" s="134"/>
      <c r="G35" s="172"/>
      <c r="H35" s="171"/>
      <c r="I35" s="171"/>
      <c r="J35" s="171"/>
      <c r="K35" s="171"/>
      <c r="L35" s="132" t="s">
        <v>209</v>
      </c>
      <c r="M35" s="138" t="s">
        <v>210</v>
      </c>
      <c r="N35" s="143"/>
      <c r="O35" s="143"/>
      <c r="P35" s="143"/>
      <c r="Q35" s="139"/>
      <c r="R35" s="136">
        <v>0</v>
      </c>
      <c r="S35" s="137"/>
    </row>
    <row r="36" spans="1:19" s="66" customFormat="1" ht="19.5" customHeight="1">
      <c r="A36" s="83"/>
      <c r="B36" s="84"/>
      <c r="C36" s="84"/>
      <c r="D36" s="84"/>
      <c r="E36" s="84"/>
      <c r="F36" s="162"/>
      <c r="G36" s="163"/>
      <c r="H36" s="84"/>
      <c r="I36" s="84"/>
      <c r="J36" s="84"/>
      <c r="K36" s="84"/>
      <c r="L36" s="132" t="s">
        <v>211</v>
      </c>
      <c r="M36" s="138" t="s">
        <v>212</v>
      </c>
      <c r="N36" s="143"/>
      <c r="O36" s="165"/>
      <c r="P36" s="143"/>
      <c r="Q36" s="139"/>
      <c r="R36" s="136">
        <v>0</v>
      </c>
      <c r="S36" s="137"/>
    </row>
    <row r="37" spans="1:19" s="66" customFormat="1" ht="19.5" customHeight="1">
      <c r="A37" s="177" t="s">
        <v>200</v>
      </c>
      <c r="B37" s="103"/>
      <c r="C37" s="103"/>
      <c r="D37" s="103"/>
      <c r="E37" s="103"/>
      <c r="F37" s="178"/>
      <c r="G37" s="179" t="s">
        <v>201</v>
      </c>
      <c r="H37" s="103"/>
      <c r="I37" s="103"/>
      <c r="J37" s="103"/>
      <c r="K37" s="103"/>
      <c r="L37" s="152" t="s">
        <v>213</v>
      </c>
      <c r="M37" s="153" t="s">
        <v>214</v>
      </c>
      <c r="N37" s="154"/>
      <c r="O37" s="103"/>
      <c r="P37" s="154"/>
      <c r="Q37" s="155"/>
      <c r="R37" s="117">
        <v>0</v>
      </c>
      <c r="S37" s="180"/>
    </row>
  </sheetData>
  <sheetProtection/>
  <mergeCells count="11">
    <mergeCell ref="O11:P11"/>
    <mergeCell ref="O13:P13"/>
    <mergeCell ref="O14:P14"/>
    <mergeCell ref="P31:Q31"/>
    <mergeCell ref="P32:Q32"/>
    <mergeCell ref="O10:P10"/>
    <mergeCell ref="O5:P5"/>
    <mergeCell ref="O6:P6"/>
    <mergeCell ref="O7:P7"/>
    <mergeCell ref="O8:P8"/>
    <mergeCell ref="O9:P9"/>
  </mergeCells>
  <printOptions/>
  <pageMargins left="0.2362204724409449" right="0.2362204724409449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6" sqref="A36:IV36"/>
      <selection pane="bottomLeft" activeCell="A36" sqref="A36:IV36"/>
    </sheetView>
  </sheetViews>
  <sheetFormatPr defaultColWidth="9.140625" defaultRowHeight="11.25" customHeight="1"/>
  <cols>
    <col min="1" max="1" width="9.71093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5.7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">
        <v>502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">
        <v>515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">
        <v>215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H15+H39+H43+H50+H58+H63</f>
        <v>0</v>
      </c>
      <c r="I14" s="446"/>
      <c r="J14" s="448" t="e">
        <f>J15+J29+#REF!+#REF!+#REF!+J36</f>
        <v>#REF!</v>
      </c>
      <c r="K14" s="446"/>
      <c r="L14" s="448" t="e">
        <f>L15+L29+#REF!+#REF!+#REF!+L36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SUM(H16:H38)</f>
        <v>0</v>
      </c>
      <c r="I15" s="446"/>
      <c r="J15" s="448">
        <f>SUM(J16:J28)</f>
        <v>64.00072</v>
      </c>
      <c r="K15" s="446"/>
      <c r="L15" s="448">
        <f>SUM(L16:L28)</f>
        <v>8.431999999999999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11</v>
      </c>
      <c r="C16" s="420" t="s">
        <v>757</v>
      </c>
      <c r="D16" s="451" t="s">
        <v>246</v>
      </c>
      <c r="E16" s="400" t="s">
        <v>247</v>
      </c>
      <c r="F16" s="401">
        <v>15.5</v>
      </c>
      <c r="G16" s="402"/>
      <c r="H16" s="402">
        <f aca="true" t="shared" si="0" ref="H16:H38">ROUND(F16*G16,2)</f>
        <v>0</v>
      </c>
      <c r="I16" s="449">
        <v>0</v>
      </c>
      <c r="J16" s="401">
        <f aca="true" t="shared" si="1" ref="J16:J28">F16*I16</f>
        <v>0</v>
      </c>
      <c r="K16" s="449">
        <v>0.235</v>
      </c>
      <c r="L16" s="401">
        <f aca="true" t="shared" si="2" ref="L16:L28">F16*K16</f>
        <v>3.6424999999999996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11</v>
      </c>
      <c r="C17" s="420" t="s">
        <v>758</v>
      </c>
      <c r="D17" s="451" t="s">
        <v>248</v>
      </c>
      <c r="E17" s="400" t="s">
        <v>247</v>
      </c>
      <c r="F17" s="401">
        <v>15.5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0.181</v>
      </c>
      <c r="L17" s="401">
        <f t="shared" si="2"/>
        <v>2.8055</v>
      </c>
      <c r="M17" s="450">
        <f aca="true" t="shared" si="3" ref="M17:M38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11</v>
      </c>
      <c r="C18" s="420" t="s">
        <v>759</v>
      </c>
      <c r="D18" s="451" t="s">
        <v>516</v>
      </c>
      <c r="E18" s="400" t="s">
        <v>247</v>
      </c>
      <c r="F18" s="401">
        <v>15.5</v>
      </c>
      <c r="G18" s="402"/>
      <c r="H18" s="402">
        <f t="shared" si="0"/>
        <v>0</v>
      </c>
      <c r="I18" s="449">
        <v>2E-05</v>
      </c>
      <c r="J18" s="401">
        <f t="shared" si="1"/>
        <v>0.00031</v>
      </c>
      <c r="K18" s="449">
        <v>0.128</v>
      </c>
      <c r="L18" s="401">
        <f t="shared" si="2"/>
        <v>1.984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11</v>
      </c>
      <c r="C19" s="420" t="s">
        <v>760</v>
      </c>
      <c r="D19" s="451" t="s">
        <v>250</v>
      </c>
      <c r="E19" s="400" t="s">
        <v>247</v>
      </c>
      <c r="F19" s="401">
        <v>31</v>
      </c>
      <c r="G19" s="402"/>
      <c r="H19" s="402">
        <f t="shared" si="0"/>
        <v>0</v>
      </c>
      <c r="I19" s="449">
        <v>4E-05</v>
      </c>
      <c r="J19" s="401">
        <f t="shared" si="1"/>
        <v>0.00124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11</v>
      </c>
      <c r="C20" s="420" t="s">
        <v>834</v>
      </c>
      <c r="D20" s="451" t="s">
        <v>454</v>
      </c>
      <c r="E20" s="400" t="s">
        <v>252</v>
      </c>
      <c r="F20" s="401">
        <v>168</v>
      </c>
      <c r="G20" s="402"/>
      <c r="H20" s="402">
        <f t="shared" si="0"/>
        <v>0</v>
      </c>
      <c r="I20" s="449">
        <v>0.00868</v>
      </c>
      <c r="J20" s="401">
        <f t="shared" si="1"/>
        <v>1.45824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11</v>
      </c>
      <c r="C21" s="420" t="s">
        <v>835</v>
      </c>
      <c r="D21" s="451" t="s">
        <v>455</v>
      </c>
      <c r="E21" s="400" t="s">
        <v>254</v>
      </c>
      <c r="F21" s="401">
        <v>7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11</v>
      </c>
      <c r="C22" s="420" t="s">
        <v>763</v>
      </c>
      <c r="D22" s="451" t="s">
        <v>255</v>
      </c>
      <c r="E22" s="400" t="s">
        <v>256</v>
      </c>
      <c r="F22" s="401">
        <v>7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8">
        <v>11</v>
      </c>
      <c r="C23" s="420" t="s">
        <v>877</v>
      </c>
      <c r="D23" s="451" t="s">
        <v>313</v>
      </c>
      <c r="E23" s="400" t="s">
        <v>256</v>
      </c>
      <c r="F23" s="401">
        <v>7</v>
      </c>
      <c r="G23" s="402"/>
      <c r="H23" s="402">
        <f t="shared" si="0"/>
        <v>0</v>
      </c>
      <c r="I23" s="449">
        <v>0.00199</v>
      </c>
      <c r="J23" s="401">
        <f t="shared" si="1"/>
        <v>0.01393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11</v>
      </c>
      <c r="C24" s="420" t="s">
        <v>765</v>
      </c>
      <c r="D24" s="451" t="s">
        <v>351</v>
      </c>
      <c r="E24" s="400" t="s">
        <v>258</v>
      </c>
      <c r="F24" s="401">
        <v>3.1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169</v>
      </c>
      <c r="B25" s="408">
        <v>11</v>
      </c>
      <c r="C25" s="420" t="s">
        <v>788</v>
      </c>
      <c r="D25" s="451" t="s">
        <v>257</v>
      </c>
      <c r="E25" s="400" t="s">
        <v>258</v>
      </c>
      <c r="F25" s="401">
        <v>62.403</v>
      </c>
      <c r="G25" s="402"/>
      <c r="H25" s="402">
        <f t="shared" si="0"/>
        <v>0</v>
      </c>
      <c r="I25" s="449">
        <v>0</v>
      </c>
      <c r="J25" s="401">
        <f t="shared" si="1"/>
        <v>0</v>
      </c>
      <c r="K25" s="449">
        <v>0</v>
      </c>
      <c r="L25" s="401">
        <f t="shared" si="2"/>
        <v>0</v>
      </c>
      <c r="M25" s="450">
        <f t="shared" si="3"/>
        <v>21</v>
      </c>
      <c r="N25" s="334">
        <v>4</v>
      </c>
      <c r="O25" s="196" t="s">
        <v>161</v>
      </c>
    </row>
    <row r="26" spans="1:15" s="196" customFormat="1" ht="13.5" customHeight="1">
      <c r="A26" s="400" t="s">
        <v>174</v>
      </c>
      <c r="B26" s="408">
        <v>11</v>
      </c>
      <c r="C26" s="420" t="s">
        <v>767</v>
      </c>
      <c r="D26" s="451" t="s">
        <v>259</v>
      </c>
      <c r="E26" s="400" t="s">
        <v>258</v>
      </c>
      <c r="F26" s="401">
        <v>62.403</v>
      </c>
      <c r="G26" s="402"/>
      <c r="H26" s="402">
        <f t="shared" si="0"/>
        <v>0</v>
      </c>
      <c r="I26" s="449">
        <v>1</v>
      </c>
      <c r="J26" s="401">
        <f t="shared" si="1"/>
        <v>62.403</v>
      </c>
      <c r="K26" s="449">
        <v>0</v>
      </c>
      <c r="L26" s="401">
        <f t="shared" si="2"/>
        <v>0</v>
      </c>
      <c r="M26" s="450">
        <f t="shared" si="3"/>
        <v>21</v>
      </c>
      <c r="N26" s="336">
        <v>8</v>
      </c>
      <c r="O26" s="335" t="s">
        <v>161</v>
      </c>
    </row>
    <row r="27" spans="1:15" s="196" customFormat="1" ht="13.5" customHeight="1">
      <c r="A27" s="400" t="s">
        <v>186</v>
      </c>
      <c r="B27" s="408">
        <v>11</v>
      </c>
      <c r="C27" s="420" t="s">
        <v>878</v>
      </c>
      <c r="D27" s="451" t="s">
        <v>504</v>
      </c>
      <c r="E27" s="400" t="s">
        <v>247</v>
      </c>
      <c r="F27" s="401">
        <v>124</v>
      </c>
      <c r="G27" s="402"/>
      <c r="H27" s="402">
        <f t="shared" si="0"/>
        <v>0</v>
      </c>
      <c r="I27" s="449">
        <v>0</v>
      </c>
      <c r="J27" s="401">
        <f t="shared" si="1"/>
        <v>0</v>
      </c>
      <c r="K27" s="449">
        <v>0</v>
      </c>
      <c r="L27" s="401">
        <f t="shared" si="2"/>
        <v>0</v>
      </c>
      <c r="M27" s="450">
        <f t="shared" si="3"/>
        <v>21</v>
      </c>
      <c r="N27" s="334">
        <v>4</v>
      </c>
      <c r="O27" s="196" t="s">
        <v>161</v>
      </c>
    </row>
    <row r="28" spans="1:15" s="196" customFormat="1" ht="13.5" customHeight="1">
      <c r="A28" s="400" t="s">
        <v>159</v>
      </c>
      <c r="B28" s="408">
        <v>11</v>
      </c>
      <c r="C28" s="420" t="s">
        <v>879</v>
      </c>
      <c r="D28" s="451" t="s">
        <v>505</v>
      </c>
      <c r="E28" s="400" t="s">
        <v>247</v>
      </c>
      <c r="F28" s="401">
        <v>124</v>
      </c>
      <c r="G28" s="402"/>
      <c r="H28" s="402">
        <f t="shared" si="0"/>
        <v>0</v>
      </c>
      <c r="I28" s="449">
        <v>0.001</v>
      </c>
      <c r="J28" s="401">
        <f t="shared" si="1"/>
        <v>0.124</v>
      </c>
      <c r="K28" s="449">
        <v>0</v>
      </c>
      <c r="L28" s="401">
        <f t="shared" si="2"/>
        <v>0</v>
      </c>
      <c r="M28" s="450">
        <f t="shared" si="3"/>
        <v>21</v>
      </c>
      <c r="N28" s="336">
        <v>8</v>
      </c>
      <c r="O28" s="335" t="s">
        <v>161</v>
      </c>
    </row>
    <row r="29" spans="1:15" s="318" customFormat="1" ht="13.5" customHeight="1">
      <c r="A29" s="400" t="s">
        <v>165</v>
      </c>
      <c r="B29" s="408">
        <v>11</v>
      </c>
      <c r="C29" s="420" t="s">
        <v>770</v>
      </c>
      <c r="D29" s="451" t="s">
        <v>262</v>
      </c>
      <c r="E29" s="400" t="s">
        <v>258</v>
      </c>
      <c r="F29" s="401">
        <v>34.322</v>
      </c>
      <c r="G29" s="402"/>
      <c r="H29" s="402">
        <f t="shared" si="0"/>
        <v>0</v>
      </c>
      <c r="I29" s="446"/>
      <c r="J29" s="448">
        <f>SUM(J30:J31)</f>
        <v>0</v>
      </c>
      <c r="K29" s="446"/>
      <c r="L29" s="448">
        <f>SUM(L30:L31)</f>
        <v>0</v>
      </c>
      <c r="M29" s="450">
        <f t="shared" si="3"/>
        <v>21</v>
      </c>
      <c r="O29" s="320" t="s">
        <v>154</v>
      </c>
    </row>
    <row r="30" spans="1:15" s="196" customFormat="1" ht="24.75" customHeight="1">
      <c r="A30" s="400" t="s">
        <v>171</v>
      </c>
      <c r="B30" s="408">
        <v>11</v>
      </c>
      <c r="C30" s="420" t="s">
        <v>771</v>
      </c>
      <c r="D30" s="451" t="s">
        <v>431</v>
      </c>
      <c r="E30" s="400" t="s">
        <v>258</v>
      </c>
      <c r="F30" s="401">
        <v>45.062</v>
      </c>
      <c r="G30" s="402"/>
      <c r="H30" s="402">
        <f t="shared" si="0"/>
        <v>0</v>
      </c>
      <c r="I30" s="449">
        <v>0</v>
      </c>
      <c r="J30" s="401">
        <f aca="true" t="shared" si="4" ref="J30:J35">F30*I30</f>
        <v>0</v>
      </c>
      <c r="K30" s="449">
        <v>0</v>
      </c>
      <c r="L30" s="401">
        <f aca="true" t="shared" si="5" ref="L30:L35">F30*K30</f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8">
        <v>11</v>
      </c>
      <c r="C31" s="420" t="s">
        <v>772</v>
      </c>
      <c r="D31" s="451" t="s">
        <v>264</v>
      </c>
      <c r="E31" s="400" t="s">
        <v>258</v>
      </c>
      <c r="F31" s="401">
        <v>45.062</v>
      </c>
      <c r="G31" s="402"/>
      <c r="H31" s="402">
        <f t="shared" si="0"/>
        <v>0</v>
      </c>
      <c r="I31" s="449">
        <v>0</v>
      </c>
      <c r="J31" s="401">
        <f t="shared" si="4"/>
        <v>0</v>
      </c>
      <c r="K31" s="449">
        <v>0</v>
      </c>
      <c r="L31" s="401">
        <f t="shared" si="5"/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13.5" customHeight="1">
      <c r="A32" s="400" t="s">
        <v>179</v>
      </c>
      <c r="B32" s="408">
        <v>11</v>
      </c>
      <c r="C32" s="420" t="s">
        <v>774</v>
      </c>
      <c r="D32" s="451" t="s">
        <v>265</v>
      </c>
      <c r="E32" s="400" t="s">
        <v>258</v>
      </c>
      <c r="F32" s="401">
        <v>30.69</v>
      </c>
      <c r="G32" s="402"/>
      <c r="H32" s="402">
        <f t="shared" si="0"/>
        <v>0</v>
      </c>
      <c r="I32" s="449">
        <v>0</v>
      </c>
      <c r="J32" s="401">
        <f t="shared" si="4"/>
        <v>0</v>
      </c>
      <c r="K32" s="449">
        <v>0</v>
      </c>
      <c r="L32" s="401">
        <f t="shared" si="5"/>
        <v>0</v>
      </c>
      <c r="M32" s="450">
        <f t="shared" si="3"/>
        <v>21</v>
      </c>
      <c r="N32" s="334">
        <v>4</v>
      </c>
      <c r="O32" s="196" t="s">
        <v>161</v>
      </c>
    </row>
    <row r="33" spans="1:15" s="196" customFormat="1" ht="13.5" customHeight="1">
      <c r="A33" s="400" t="s">
        <v>182</v>
      </c>
      <c r="B33" s="408">
        <v>11</v>
      </c>
      <c r="C33" s="420" t="s">
        <v>775</v>
      </c>
      <c r="D33" s="451" t="s">
        <v>267</v>
      </c>
      <c r="E33" s="400" t="s">
        <v>268</v>
      </c>
      <c r="F33" s="401">
        <v>29.295</v>
      </c>
      <c r="G33" s="402"/>
      <c r="H33" s="402">
        <f t="shared" si="0"/>
        <v>0</v>
      </c>
      <c r="I33" s="449">
        <v>0</v>
      </c>
      <c r="J33" s="401">
        <f t="shared" si="4"/>
        <v>0</v>
      </c>
      <c r="K33" s="449">
        <v>0</v>
      </c>
      <c r="L33" s="401">
        <f t="shared" si="5"/>
        <v>0</v>
      </c>
      <c r="M33" s="450">
        <f t="shared" si="3"/>
        <v>21</v>
      </c>
      <c r="N33" s="334">
        <v>4</v>
      </c>
      <c r="O33" s="196" t="s">
        <v>161</v>
      </c>
    </row>
    <row r="34" spans="1:15" s="196" customFormat="1" ht="24.75" customHeight="1">
      <c r="A34" s="400" t="s">
        <v>188</v>
      </c>
      <c r="B34" s="408">
        <v>11</v>
      </c>
      <c r="C34" s="420" t="s">
        <v>800</v>
      </c>
      <c r="D34" s="451" t="s">
        <v>269</v>
      </c>
      <c r="E34" s="400" t="s">
        <v>258</v>
      </c>
      <c r="F34" s="401">
        <v>14.527</v>
      </c>
      <c r="G34" s="402"/>
      <c r="H34" s="402">
        <f t="shared" si="0"/>
        <v>0</v>
      </c>
      <c r="I34" s="449">
        <v>0</v>
      </c>
      <c r="J34" s="401">
        <f t="shared" si="4"/>
        <v>0</v>
      </c>
      <c r="K34" s="449">
        <v>0</v>
      </c>
      <c r="L34" s="401">
        <f t="shared" si="5"/>
        <v>0</v>
      </c>
      <c r="M34" s="450">
        <f t="shared" si="3"/>
        <v>21</v>
      </c>
      <c r="N34" s="334">
        <v>4</v>
      </c>
      <c r="O34" s="196" t="s">
        <v>161</v>
      </c>
    </row>
    <row r="35" spans="1:15" s="196" customFormat="1" ht="13.5" customHeight="1">
      <c r="A35" s="400" t="s">
        <v>190</v>
      </c>
      <c r="B35" s="408">
        <v>11</v>
      </c>
      <c r="C35" s="420" t="s">
        <v>880</v>
      </c>
      <c r="D35" s="451" t="s">
        <v>506</v>
      </c>
      <c r="E35" s="400" t="s">
        <v>268</v>
      </c>
      <c r="F35" s="401">
        <v>27.819</v>
      </c>
      <c r="G35" s="402"/>
      <c r="H35" s="402">
        <f t="shared" si="0"/>
        <v>0</v>
      </c>
      <c r="I35" s="449">
        <v>0</v>
      </c>
      <c r="J35" s="401">
        <f t="shared" si="4"/>
        <v>0</v>
      </c>
      <c r="K35" s="449">
        <v>0</v>
      </c>
      <c r="L35" s="401">
        <f t="shared" si="5"/>
        <v>0</v>
      </c>
      <c r="M35" s="450">
        <f t="shared" si="3"/>
        <v>21</v>
      </c>
      <c r="N35" s="334">
        <v>4</v>
      </c>
      <c r="O35" s="196" t="s">
        <v>161</v>
      </c>
    </row>
    <row r="36" spans="1:15" s="318" customFormat="1" ht="24.75" customHeight="1">
      <c r="A36" s="400" t="s">
        <v>192</v>
      </c>
      <c r="B36" s="408">
        <v>11</v>
      </c>
      <c r="C36" s="420" t="s">
        <v>776</v>
      </c>
      <c r="D36" s="451" t="s">
        <v>354</v>
      </c>
      <c r="E36" s="400" t="s">
        <v>247</v>
      </c>
      <c r="F36" s="401">
        <v>15.5</v>
      </c>
      <c r="G36" s="402"/>
      <c r="H36" s="402">
        <f t="shared" si="0"/>
        <v>0</v>
      </c>
      <c r="I36" s="446"/>
      <c r="J36" s="448" t="e">
        <f>#REF!</f>
        <v>#REF!</v>
      </c>
      <c r="K36" s="446"/>
      <c r="L36" s="448" t="e">
        <f>#REF!</f>
        <v>#REF!</v>
      </c>
      <c r="M36" s="450">
        <f t="shared" si="3"/>
        <v>21</v>
      </c>
      <c r="O36" s="320" t="s">
        <v>154</v>
      </c>
    </row>
    <row r="37" spans="1:15" s="318" customFormat="1" ht="13.5" customHeight="1">
      <c r="A37" s="400" t="s">
        <v>194</v>
      </c>
      <c r="B37" s="408">
        <v>11</v>
      </c>
      <c r="C37" s="420" t="s">
        <v>778</v>
      </c>
      <c r="D37" s="451" t="s">
        <v>355</v>
      </c>
      <c r="E37" s="400" t="s">
        <v>247</v>
      </c>
      <c r="F37" s="401">
        <v>15.5</v>
      </c>
      <c r="G37" s="402"/>
      <c r="H37" s="402">
        <f t="shared" si="0"/>
        <v>0</v>
      </c>
      <c r="I37" s="446"/>
      <c r="J37" s="448">
        <f>J38</f>
        <v>0</v>
      </c>
      <c r="K37" s="446"/>
      <c r="L37" s="448">
        <f>L38</f>
        <v>0</v>
      </c>
      <c r="M37" s="450">
        <f t="shared" si="3"/>
        <v>21</v>
      </c>
      <c r="O37" s="315" t="s">
        <v>244</v>
      </c>
    </row>
    <row r="38" spans="1:15" s="318" customFormat="1" ht="13.5" customHeight="1">
      <c r="A38" s="400" t="s">
        <v>198</v>
      </c>
      <c r="B38" s="408">
        <v>11</v>
      </c>
      <c r="C38" s="420" t="s">
        <v>779</v>
      </c>
      <c r="D38" s="451" t="s">
        <v>356</v>
      </c>
      <c r="E38" s="400" t="s">
        <v>357</v>
      </c>
      <c r="F38" s="401">
        <v>0.388</v>
      </c>
      <c r="G38" s="402"/>
      <c r="H38" s="402">
        <f t="shared" si="0"/>
        <v>0</v>
      </c>
      <c r="I38" s="446"/>
      <c r="J38" s="448">
        <f>SUM(J39:J40)</f>
        <v>0</v>
      </c>
      <c r="K38" s="446"/>
      <c r="L38" s="448">
        <f>SUM(L39:L40)</f>
        <v>0</v>
      </c>
      <c r="M38" s="450">
        <f t="shared" si="3"/>
        <v>21</v>
      </c>
      <c r="O38" s="320" t="s">
        <v>154</v>
      </c>
    </row>
    <row r="39" spans="1:15" s="196" customFormat="1" ht="13.5" customHeight="1">
      <c r="A39" s="446"/>
      <c r="B39" s="408"/>
      <c r="C39" s="446" t="s">
        <v>173</v>
      </c>
      <c r="D39" s="446" t="s">
        <v>275</v>
      </c>
      <c r="E39" s="446"/>
      <c r="F39" s="446"/>
      <c r="G39" s="446"/>
      <c r="H39" s="447">
        <f>SUM(H40:H42)</f>
        <v>0</v>
      </c>
      <c r="I39" s="449">
        <v>0</v>
      </c>
      <c r="J39" s="401">
        <f>F39*I39</f>
        <v>0</v>
      </c>
      <c r="K39" s="449">
        <v>0</v>
      </c>
      <c r="L39" s="401">
        <f>F39*K39</f>
        <v>0</v>
      </c>
      <c r="M39" s="450"/>
      <c r="N39" s="334">
        <v>64</v>
      </c>
      <c r="O39" s="196" t="s">
        <v>161</v>
      </c>
    </row>
    <row r="40" spans="1:15" s="196" customFormat="1" ht="13.5" customHeight="1">
      <c r="A40" s="400" t="s">
        <v>202</v>
      </c>
      <c r="B40" s="408">
        <v>11</v>
      </c>
      <c r="C40" s="420" t="s">
        <v>881</v>
      </c>
      <c r="D40" s="451" t="s">
        <v>507</v>
      </c>
      <c r="E40" s="400" t="s">
        <v>258</v>
      </c>
      <c r="F40" s="401">
        <v>0.93</v>
      </c>
      <c r="G40" s="402"/>
      <c r="H40" s="402">
        <f>ROUND(F40*G40,2)</f>
        <v>0</v>
      </c>
      <c r="I40" s="449">
        <v>0</v>
      </c>
      <c r="J40" s="401">
        <f>F40*I40</f>
        <v>0</v>
      </c>
      <c r="K40" s="449">
        <v>0</v>
      </c>
      <c r="L40" s="401">
        <f>F40*K40</f>
        <v>0</v>
      </c>
      <c r="M40" s="450">
        <f>$M$16</f>
        <v>21</v>
      </c>
      <c r="N40" s="334">
        <v>64</v>
      </c>
      <c r="O40" s="196" t="s">
        <v>161</v>
      </c>
    </row>
    <row r="41" spans="1:13" ht="13.5" customHeight="1">
      <c r="A41" s="400" t="s">
        <v>204</v>
      </c>
      <c r="B41" s="408">
        <v>11</v>
      </c>
      <c r="C41" s="420" t="s">
        <v>721</v>
      </c>
      <c r="D41" s="451" t="s">
        <v>276</v>
      </c>
      <c r="E41" s="400" t="s">
        <v>258</v>
      </c>
      <c r="F41" s="401">
        <v>2.48</v>
      </c>
      <c r="G41" s="402"/>
      <c r="H41" s="402">
        <f>ROUND(F41*G41,2)</f>
        <v>0</v>
      </c>
      <c r="I41" s="453"/>
      <c r="J41" s="453"/>
      <c r="K41" s="453"/>
      <c r="L41" s="453"/>
      <c r="M41" s="450">
        <f>$M$16</f>
        <v>21</v>
      </c>
    </row>
    <row r="42" spans="1:13" ht="13.5" customHeight="1">
      <c r="A42" s="400" t="s">
        <v>205</v>
      </c>
      <c r="B42" s="408">
        <v>11</v>
      </c>
      <c r="C42" s="420" t="s">
        <v>882</v>
      </c>
      <c r="D42" s="451" t="s">
        <v>508</v>
      </c>
      <c r="E42" s="400" t="s">
        <v>258</v>
      </c>
      <c r="F42" s="401">
        <v>6.2</v>
      </c>
      <c r="G42" s="402"/>
      <c r="H42" s="402">
        <f>ROUND(F42*G42,2)</f>
        <v>0</v>
      </c>
      <c r="I42" s="453"/>
      <c r="J42" s="453"/>
      <c r="K42" s="453"/>
      <c r="L42" s="453"/>
      <c r="M42" s="450">
        <f>$M$16</f>
        <v>21</v>
      </c>
    </row>
    <row r="43" spans="1:13" ht="13.5" customHeight="1">
      <c r="A43" s="446"/>
      <c r="B43" s="408"/>
      <c r="C43" s="446" t="s">
        <v>177</v>
      </c>
      <c r="D43" s="446" t="s">
        <v>279</v>
      </c>
      <c r="E43" s="446"/>
      <c r="F43" s="446"/>
      <c r="G43" s="446"/>
      <c r="H43" s="447">
        <f>SUM(H44:H49)</f>
        <v>0</v>
      </c>
      <c r="I43" s="453"/>
      <c r="J43" s="453"/>
      <c r="K43" s="453"/>
      <c r="L43" s="453"/>
      <c r="M43" s="450"/>
    </row>
    <row r="44" spans="1:13" ht="13.5" customHeight="1">
      <c r="A44" s="400" t="s">
        <v>209</v>
      </c>
      <c r="B44" s="408">
        <v>11</v>
      </c>
      <c r="C44" s="420" t="s">
        <v>723</v>
      </c>
      <c r="D44" s="451" t="s">
        <v>280</v>
      </c>
      <c r="E44" s="400" t="s">
        <v>247</v>
      </c>
      <c r="F44" s="401">
        <v>15.5</v>
      </c>
      <c r="G44" s="402"/>
      <c r="H44" s="402">
        <f aca="true" t="shared" si="6" ref="H44:H49">ROUND(F44*G44,2)</f>
        <v>0</v>
      </c>
      <c r="I44" s="453"/>
      <c r="J44" s="453"/>
      <c r="K44" s="453"/>
      <c r="L44" s="453"/>
      <c r="M44" s="450">
        <f aca="true" t="shared" si="7" ref="M44:M49">$M$16</f>
        <v>21</v>
      </c>
    </row>
    <row r="45" spans="1:13" ht="24.75" customHeight="1">
      <c r="A45" s="400" t="s">
        <v>211</v>
      </c>
      <c r="B45" s="408">
        <v>11</v>
      </c>
      <c r="C45" s="420" t="s">
        <v>724</v>
      </c>
      <c r="D45" s="451" t="s">
        <v>281</v>
      </c>
      <c r="E45" s="400" t="s">
        <v>247</v>
      </c>
      <c r="F45" s="401">
        <v>15.5</v>
      </c>
      <c r="G45" s="402"/>
      <c r="H45" s="402">
        <f t="shared" si="6"/>
        <v>0</v>
      </c>
      <c r="I45" s="453"/>
      <c r="J45" s="453"/>
      <c r="K45" s="453"/>
      <c r="L45" s="453"/>
      <c r="M45" s="450">
        <f t="shared" si="7"/>
        <v>21</v>
      </c>
    </row>
    <row r="46" spans="1:13" ht="13.5" customHeight="1">
      <c r="A46" s="400" t="s">
        <v>213</v>
      </c>
      <c r="B46" s="408">
        <v>11</v>
      </c>
      <c r="C46" s="420" t="s">
        <v>883</v>
      </c>
      <c r="D46" s="451" t="s">
        <v>509</v>
      </c>
      <c r="E46" s="400" t="s">
        <v>247</v>
      </c>
      <c r="F46" s="401">
        <v>31</v>
      </c>
      <c r="G46" s="402"/>
      <c r="H46" s="402">
        <f t="shared" si="6"/>
        <v>0</v>
      </c>
      <c r="I46" s="453"/>
      <c r="J46" s="453"/>
      <c r="K46" s="453"/>
      <c r="L46" s="453"/>
      <c r="M46" s="450">
        <f t="shared" si="7"/>
        <v>21</v>
      </c>
    </row>
    <row r="47" spans="1:13" ht="13.5" customHeight="1">
      <c r="A47" s="400" t="s">
        <v>287</v>
      </c>
      <c r="B47" s="408">
        <v>11</v>
      </c>
      <c r="C47" s="420" t="s">
        <v>725</v>
      </c>
      <c r="D47" s="451" t="s">
        <v>510</v>
      </c>
      <c r="E47" s="400" t="s">
        <v>247</v>
      </c>
      <c r="F47" s="401">
        <v>31</v>
      </c>
      <c r="G47" s="402"/>
      <c r="H47" s="402">
        <f t="shared" si="6"/>
        <v>0</v>
      </c>
      <c r="I47" s="453"/>
      <c r="J47" s="453"/>
      <c r="K47" s="453"/>
      <c r="L47" s="453"/>
      <c r="M47" s="450">
        <f t="shared" si="7"/>
        <v>21</v>
      </c>
    </row>
    <row r="48" spans="1:13" ht="24.75" customHeight="1">
      <c r="A48" s="400" t="s">
        <v>289</v>
      </c>
      <c r="B48" s="408">
        <v>11</v>
      </c>
      <c r="C48" s="420" t="s">
        <v>884</v>
      </c>
      <c r="D48" s="451" t="s">
        <v>511</v>
      </c>
      <c r="E48" s="400" t="s">
        <v>247</v>
      </c>
      <c r="F48" s="401">
        <v>31</v>
      </c>
      <c r="G48" s="402"/>
      <c r="H48" s="402">
        <f t="shared" si="6"/>
        <v>0</v>
      </c>
      <c r="I48" s="453"/>
      <c r="J48" s="453"/>
      <c r="K48" s="453"/>
      <c r="L48" s="453"/>
      <c r="M48" s="450">
        <f t="shared" si="7"/>
        <v>21</v>
      </c>
    </row>
    <row r="49" spans="1:13" ht="13.5" customHeight="1">
      <c r="A49" s="400" t="s">
        <v>292</v>
      </c>
      <c r="B49" s="408">
        <v>11</v>
      </c>
      <c r="C49" s="420" t="s">
        <v>727</v>
      </c>
      <c r="D49" s="451" t="s">
        <v>284</v>
      </c>
      <c r="E49" s="400" t="s">
        <v>256</v>
      </c>
      <c r="F49" s="401">
        <v>31</v>
      </c>
      <c r="G49" s="402"/>
      <c r="H49" s="402">
        <f t="shared" si="6"/>
        <v>0</v>
      </c>
      <c r="I49" s="453"/>
      <c r="J49" s="453"/>
      <c r="K49" s="453"/>
      <c r="L49" s="453"/>
      <c r="M49" s="450">
        <f t="shared" si="7"/>
        <v>21</v>
      </c>
    </row>
    <row r="50" spans="1:13" ht="13.5" customHeight="1">
      <c r="A50" s="446"/>
      <c r="B50" s="408"/>
      <c r="C50" s="446" t="s">
        <v>157</v>
      </c>
      <c r="D50" s="446" t="s">
        <v>285</v>
      </c>
      <c r="E50" s="446"/>
      <c r="F50" s="446"/>
      <c r="G50" s="446"/>
      <c r="H50" s="447">
        <f>SUM(H51:H57)</f>
        <v>0</v>
      </c>
      <c r="I50" s="453"/>
      <c r="J50" s="453"/>
      <c r="K50" s="453"/>
      <c r="L50" s="453"/>
      <c r="M50" s="450"/>
    </row>
    <row r="51" spans="1:13" ht="13.5" customHeight="1">
      <c r="A51" s="400" t="s">
        <v>294</v>
      </c>
      <c r="B51" s="408">
        <v>11</v>
      </c>
      <c r="C51" s="420" t="s">
        <v>792</v>
      </c>
      <c r="D51" s="451" t="s">
        <v>404</v>
      </c>
      <c r="E51" s="400" t="s">
        <v>317</v>
      </c>
      <c r="F51" s="401">
        <v>7</v>
      </c>
      <c r="G51" s="402"/>
      <c r="H51" s="402">
        <f aca="true" t="shared" si="8" ref="H51:H57">ROUND(F51*G51,2)</f>
        <v>0</v>
      </c>
      <c r="I51" s="453"/>
      <c r="J51" s="453"/>
      <c r="K51" s="453"/>
      <c r="L51" s="453"/>
      <c r="M51" s="450">
        <f aca="true" t="shared" si="9" ref="M51:M68">$M$16</f>
        <v>21</v>
      </c>
    </row>
    <row r="52" spans="1:13" ht="24.75" customHeight="1">
      <c r="A52" s="400" t="s">
        <v>296</v>
      </c>
      <c r="B52" s="408">
        <v>11</v>
      </c>
      <c r="C52" s="420" t="s">
        <v>793</v>
      </c>
      <c r="D52" s="451" t="s">
        <v>405</v>
      </c>
      <c r="E52" s="400" t="s">
        <v>256</v>
      </c>
      <c r="F52" s="401">
        <v>31</v>
      </c>
      <c r="G52" s="402"/>
      <c r="H52" s="402">
        <f t="shared" si="8"/>
        <v>0</v>
      </c>
      <c r="I52" s="453"/>
      <c r="J52" s="453"/>
      <c r="K52" s="453"/>
      <c r="L52" s="453"/>
      <c r="M52" s="450">
        <f t="shared" si="9"/>
        <v>21</v>
      </c>
    </row>
    <row r="53" spans="1:13" ht="13.5" customHeight="1">
      <c r="A53" s="400" t="s">
        <v>298</v>
      </c>
      <c r="B53" s="408">
        <v>11</v>
      </c>
      <c r="C53" s="420" t="s">
        <v>794</v>
      </c>
      <c r="D53" s="451" t="s">
        <v>406</v>
      </c>
      <c r="E53" s="400" t="s">
        <v>256</v>
      </c>
      <c r="F53" s="401">
        <v>31.465</v>
      </c>
      <c r="G53" s="402"/>
      <c r="H53" s="402">
        <f t="shared" si="8"/>
        <v>0</v>
      </c>
      <c r="I53" s="453"/>
      <c r="J53" s="453"/>
      <c r="K53" s="453"/>
      <c r="L53" s="453"/>
      <c r="M53" s="450">
        <f t="shared" si="9"/>
        <v>21</v>
      </c>
    </row>
    <row r="54" spans="1:13" ht="13.5" customHeight="1">
      <c r="A54" s="400" t="s">
        <v>302</v>
      </c>
      <c r="B54" s="408">
        <v>11</v>
      </c>
      <c r="C54" s="420" t="s">
        <v>885</v>
      </c>
      <c r="D54" s="451" t="s">
        <v>512</v>
      </c>
      <c r="E54" s="400" t="s">
        <v>256</v>
      </c>
      <c r="F54" s="401">
        <v>31</v>
      </c>
      <c r="G54" s="402"/>
      <c r="H54" s="402">
        <f t="shared" si="8"/>
        <v>0</v>
      </c>
      <c r="I54" s="453"/>
      <c r="J54" s="453"/>
      <c r="K54" s="453"/>
      <c r="L54" s="453"/>
      <c r="M54" s="450">
        <f t="shared" si="9"/>
        <v>21</v>
      </c>
    </row>
    <row r="55" spans="1:13" ht="13.5" customHeight="1">
      <c r="A55" s="400" t="s">
        <v>307</v>
      </c>
      <c r="B55" s="408">
        <v>11</v>
      </c>
      <c r="C55" s="420" t="s">
        <v>745</v>
      </c>
      <c r="D55" s="451" t="s">
        <v>408</v>
      </c>
      <c r="E55" s="400" t="s">
        <v>274</v>
      </c>
      <c r="F55" s="401">
        <v>5</v>
      </c>
      <c r="G55" s="402"/>
      <c r="H55" s="402">
        <f t="shared" si="8"/>
        <v>0</v>
      </c>
      <c r="I55" s="453"/>
      <c r="J55" s="453"/>
      <c r="K55" s="453"/>
      <c r="L55" s="453"/>
      <c r="M55" s="450">
        <f t="shared" si="9"/>
        <v>21</v>
      </c>
    </row>
    <row r="56" spans="1:13" ht="13.5" customHeight="1">
      <c r="A56" s="400" t="s">
        <v>310</v>
      </c>
      <c r="B56" s="408">
        <v>11</v>
      </c>
      <c r="C56" s="420" t="s">
        <v>886</v>
      </c>
      <c r="D56" s="451" t="s">
        <v>513</v>
      </c>
      <c r="E56" s="400" t="s">
        <v>274</v>
      </c>
      <c r="F56" s="401">
        <v>2</v>
      </c>
      <c r="G56" s="402"/>
      <c r="H56" s="402">
        <f t="shared" si="8"/>
        <v>0</v>
      </c>
      <c r="I56" s="453"/>
      <c r="J56" s="453"/>
      <c r="K56" s="453"/>
      <c r="L56" s="453"/>
      <c r="M56" s="450">
        <f t="shared" si="9"/>
        <v>21</v>
      </c>
    </row>
    <row r="57" spans="1:13" ht="13.5" customHeight="1">
      <c r="A57" s="400" t="s">
        <v>322</v>
      </c>
      <c r="B57" s="408">
        <v>11</v>
      </c>
      <c r="C57" s="420" t="s">
        <v>887</v>
      </c>
      <c r="D57" s="451" t="s">
        <v>514</v>
      </c>
      <c r="E57" s="400" t="s">
        <v>274</v>
      </c>
      <c r="F57" s="401">
        <v>2</v>
      </c>
      <c r="G57" s="402"/>
      <c r="H57" s="402">
        <f t="shared" si="8"/>
        <v>0</v>
      </c>
      <c r="I57" s="453"/>
      <c r="J57" s="453"/>
      <c r="K57" s="453"/>
      <c r="L57" s="453"/>
      <c r="M57" s="450">
        <f t="shared" si="9"/>
        <v>21</v>
      </c>
    </row>
    <row r="58" spans="1:13" ht="13.5" customHeight="1">
      <c r="A58" s="446"/>
      <c r="B58" s="408"/>
      <c r="C58" s="446" t="s">
        <v>163</v>
      </c>
      <c r="D58" s="446" t="s">
        <v>291</v>
      </c>
      <c r="E58" s="446"/>
      <c r="F58" s="446"/>
      <c r="G58" s="446"/>
      <c r="H58" s="447">
        <f>SUM(H59:H62)</f>
        <v>0</v>
      </c>
      <c r="I58" s="453"/>
      <c r="J58" s="453"/>
      <c r="K58" s="453"/>
      <c r="L58" s="453"/>
      <c r="M58" s="450"/>
    </row>
    <row r="59" spans="1:13" ht="13.5" customHeight="1">
      <c r="A59" s="400" t="s">
        <v>324</v>
      </c>
      <c r="B59" s="408">
        <v>11</v>
      </c>
      <c r="C59" s="420" t="s">
        <v>750</v>
      </c>
      <c r="D59" s="451" t="s">
        <v>293</v>
      </c>
      <c r="E59" s="400" t="s">
        <v>256</v>
      </c>
      <c r="F59" s="401">
        <v>31</v>
      </c>
      <c r="G59" s="402"/>
      <c r="H59" s="402">
        <f>ROUND(F59*G59,2)</f>
        <v>0</v>
      </c>
      <c r="I59" s="453"/>
      <c r="J59" s="453"/>
      <c r="K59" s="453"/>
      <c r="L59" s="453"/>
      <c r="M59" s="450">
        <f t="shared" si="9"/>
        <v>21</v>
      </c>
    </row>
    <row r="60" spans="1:13" ht="13.5" customHeight="1">
      <c r="A60" s="400" t="s">
        <v>326</v>
      </c>
      <c r="B60" s="408">
        <v>11</v>
      </c>
      <c r="C60" s="420" t="s">
        <v>751</v>
      </c>
      <c r="D60" s="451" t="s">
        <v>295</v>
      </c>
      <c r="E60" s="400" t="s">
        <v>268</v>
      </c>
      <c r="F60" s="401">
        <v>19.096</v>
      </c>
      <c r="G60" s="402"/>
      <c r="H60" s="402">
        <f>ROUND(F60*G60,2)</f>
        <v>0</v>
      </c>
      <c r="I60" s="453"/>
      <c r="J60" s="453"/>
      <c r="K60" s="453"/>
      <c r="L60" s="453"/>
      <c r="M60" s="450">
        <f t="shared" si="9"/>
        <v>21</v>
      </c>
    </row>
    <row r="61" spans="1:13" ht="13.5" customHeight="1">
      <c r="A61" s="400" t="s">
        <v>328</v>
      </c>
      <c r="B61" s="408">
        <v>11</v>
      </c>
      <c r="C61" s="420" t="s">
        <v>752</v>
      </c>
      <c r="D61" s="451" t="s">
        <v>297</v>
      </c>
      <c r="E61" s="400" t="s">
        <v>268</v>
      </c>
      <c r="F61" s="401">
        <v>171.864</v>
      </c>
      <c r="G61" s="402"/>
      <c r="H61" s="402">
        <f>ROUND(F61*G61,2)</f>
        <v>0</v>
      </c>
      <c r="I61" s="453"/>
      <c r="J61" s="453"/>
      <c r="K61" s="453"/>
      <c r="L61" s="453"/>
      <c r="M61" s="450">
        <f t="shared" si="9"/>
        <v>21</v>
      </c>
    </row>
    <row r="62" spans="1:13" ht="13.5" customHeight="1">
      <c r="A62" s="400" t="s">
        <v>330</v>
      </c>
      <c r="B62" s="408">
        <v>11</v>
      </c>
      <c r="C62" s="420" t="s">
        <v>832</v>
      </c>
      <c r="D62" s="451" t="s">
        <v>449</v>
      </c>
      <c r="E62" s="400" t="s">
        <v>268</v>
      </c>
      <c r="F62" s="401">
        <v>19.096</v>
      </c>
      <c r="G62" s="402"/>
      <c r="H62" s="402">
        <f>ROUND(F62*G62,2)</f>
        <v>0</v>
      </c>
      <c r="I62" s="453"/>
      <c r="J62" s="453"/>
      <c r="K62" s="453"/>
      <c r="L62" s="453"/>
      <c r="M62" s="450">
        <f t="shared" si="9"/>
        <v>21</v>
      </c>
    </row>
    <row r="63" spans="1:13" ht="13.5" customHeight="1">
      <c r="A63" s="446"/>
      <c r="B63" s="408"/>
      <c r="C63" s="446" t="s">
        <v>300</v>
      </c>
      <c r="D63" s="446" t="s">
        <v>301</v>
      </c>
      <c r="E63" s="446"/>
      <c r="F63" s="446"/>
      <c r="G63" s="446"/>
      <c r="H63" s="447">
        <f>H64</f>
        <v>0</v>
      </c>
      <c r="I63" s="453"/>
      <c r="J63" s="453"/>
      <c r="K63" s="453"/>
      <c r="L63" s="453"/>
      <c r="M63" s="450"/>
    </row>
    <row r="64" spans="1:13" ht="13.5" customHeight="1">
      <c r="A64" s="400" t="s">
        <v>332</v>
      </c>
      <c r="B64" s="408">
        <v>11</v>
      </c>
      <c r="C64" s="420" t="s">
        <v>754</v>
      </c>
      <c r="D64" s="451" t="s">
        <v>303</v>
      </c>
      <c r="E64" s="400" t="s">
        <v>268</v>
      </c>
      <c r="F64" s="401">
        <v>61.019</v>
      </c>
      <c r="G64" s="402"/>
      <c r="H64" s="402">
        <f>ROUND(F64*G64,2)</f>
        <v>0</v>
      </c>
      <c r="I64" s="453"/>
      <c r="J64" s="453"/>
      <c r="K64" s="453"/>
      <c r="L64" s="453"/>
      <c r="M64" s="450">
        <f t="shared" si="9"/>
        <v>21</v>
      </c>
    </row>
    <row r="65" spans="1:13" ht="13.5" customHeight="1">
      <c r="A65" s="446"/>
      <c r="B65" s="408"/>
      <c r="C65" s="446" t="s">
        <v>266</v>
      </c>
      <c r="D65" s="446" t="s">
        <v>304</v>
      </c>
      <c r="E65" s="446"/>
      <c r="F65" s="446"/>
      <c r="G65" s="446"/>
      <c r="H65" s="447">
        <f>H66</f>
        <v>0</v>
      </c>
      <c r="I65" s="453"/>
      <c r="J65" s="453"/>
      <c r="K65" s="453"/>
      <c r="L65" s="453"/>
      <c r="M65" s="450"/>
    </row>
    <row r="66" spans="1:13" ht="13.5" customHeight="1">
      <c r="A66" s="446"/>
      <c r="B66" s="408"/>
      <c r="C66" s="446" t="s">
        <v>305</v>
      </c>
      <c r="D66" s="446" t="s">
        <v>306</v>
      </c>
      <c r="E66" s="446"/>
      <c r="F66" s="446"/>
      <c r="G66" s="446"/>
      <c r="H66" s="447">
        <f>SUM(H67:H68)</f>
        <v>0</v>
      </c>
      <c r="I66" s="453"/>
      <c r="J66" s="453"/>
      <c r="K66" s="453"/>
      <c r="L66" s="453"/>
      <c r="M66" s="450"/>
    </row>
    <row r="67" spans="1:13" ht="13.5" customHeight="1">
      <c r="A67" s="400" t="s">
        <v>334</v>
      </c>
      <c r="B67" s="408">
        <v>11</v>
      </c>
      <c r="C67" s="420" t="s">
        <v>796</v>
      </c>
      <c r="D67" s="451" t="s">
        <v>409</v>
      </c>
      <c r="E67" s="400" t="s">
        <v>309</v>
      </c>
      <c r="F67" s="401">
        <v>7</v>
      </c>
      <c r="G67" s="402"/>
      <c r="H67" s="402">
        <f>ROUND(F67*G67,2)</f>
        <v>0</v>
      </c>
      <c r="I67" s="453"/>
      <c r="J67" s="453"/>
      <c r="K67" s="453"/>
      <c r="L67" s="453"/>
      <c r="M67" s="450">
        <f t="shared" si="9"/>
        <v>21</v>
      </c>
    </row>
    <row r="68" spans="1:13" ht="13.5" customHeight="1">
      <c r="A68" s="400" t="s">
        <v>336</v>
      </c>
      <c r="B68" s="408">
        <v>11</v>
      </c>
      <c r="C68" s="420" t="s">
        <v>798</v>
      </c>
      <c r="D68" s="451" t="s">
        <v>411</v>
      </c>
      <c r="E68" s="400" t="s">
        <v>256</v>
      </c>
      <c r="F68" s="401">
        <v>31</v>
      </c>
      <c r="G68" s="402"/>
      <c r="H68" s="402">
        <f>ROUND(F68*G68,2)</f>
        <v>0</v>
      </c>
      <c r="I68" s="453"/>
      <c r="J68" s="453"/>
      <c r="K68" s="453"/>
      <c r="L68" s="453"/>
      <c r="M68" s="450">
        <f t="shared" si="9"/>
        <v>21</v>
      </c>
    </row>
    <row r="69" spans="1:13" ht="13.5" customHeight="1">
      <c r="A69" s="399"/>
      <c r="B69" s="453"/>
      <c r="C69" s="399"/>
      <c r="D69" s="399" t="s">
        <v>124</v>
      </c>
      <c r="E69" s="399"/>
      <c r="F69" s="399"/>
      <c r="G69" s="399"/>
      <c r="H69" s="454">
        <f>H14+H65</f>
        <v>0</v>
      </c>
      <c r="I69" s="453"/>
      <c r="J69" s="453"/>
      <c r="K69" s="453"/>
      <c r="L69" s="453"/>
      <c r="M69" s="453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W44" sqref="W44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502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106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517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112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518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>
        <v>1579.6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764.83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>
        <v>27251.710000000003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>
        <v>0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>
        <v>0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>
        <v>0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>
        <v>3036.6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>
        <v>0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>
        <f>SUM(E38:E43)</f>
        <v>31867.91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>
        <f>SUM(R38:R43)+J45</f>
        <v>1251.1200000000001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>
        <v>0</v>
      </c>
      <c r="F45" s="223"/>
      <c r="G45" s="267">
        <v>21</v>
      </c>
      <c r="H45" s="268" t="s">
        <v>193</v>
      </c>
      <c r="I45" s="270"/>
      <c r="J45" s="272">
        <v>486.29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>
        <v>0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>
        <f>ROUND(E44+R44+E45+R45,2)</f>
        <v>33119.03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>
        <f>R47-O49</f>
        <v>0</v>
      </c>
      <c r="P48" s="217" t="s">
        <v>8</v>
      </c>
      <c r="Q48" s="215"/>
      <c r="R48" s="282">
        <f>ROUNDUP(O48*M48/100,2)</f>
        <v>0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>
        <v>33119.030000000006</v>
      </c>
      <c r="P49" s="217" t="s">
        <v>8</v>
      </c>
      <c r="Q49" s="215"/>
      <c r="R49" s="252">
        <f>ROUNDUP(O49*M49/100,2)</f>
        <v>6292.62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>
        <f>R47+R48+R49</f>
        <v>39411.65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">
        <v>2</v>
      </c>
      <c r="C2" s="300"/>
      <c r="D2" s="300"/>
      <c r="E2" s="300"/>
    </row>
    <row r="3" spans="1:5" ht="12" customHeight="1">
      <c r="A3" s="298" t="s">
        <v>225</v>
      </c>
      <c r="B3" s="299" t="s">
        <v>502</v>
      </c>
      <c r="C3" s="301"/>
      <c r="D3" s="299"/>
      <c r="E3" s="302"/>
    </row>
    <row r="4" spans="1:5" ht="12" customHeight="1">
      <c r="A4" s="298" t="s">
        <v>226</v>
      </c>
      <c r="B4" s="299" t="s">
        <v>517</v>
      </c>
      <c r="C4" s="301"/>
      <c r="D4" s="299"/>
      <c r="E4" s="302"/>
    </row>
    <row r="5" spans="1:5" ht="12" customHeight="1">
      <c r="A5" s="299" t="s">
        <v>227</v>
      </c>
      <c r="B5" s="299" t="s">
        <v>215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">
        <v>215</v>
      </c>
      <c r="C7" s="301"/>
      <c r="D7" s="299"/>
      <c r="E7" s="302"/>
    </row>
    <row r="8" spans="1:5" ht="12" customHeight="1">
      <c r="A8" s="299" t="s">
        <v>12</v>
      </c>
      <c r="B8" s="299" t="s">
        <v>215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">
        <v>155</v>
      </c>
      <c r="B14" s="315" t="s">
        <v>243</v>
      </c>
      <c r="C14" s="316">
        <v>28831.31</v>
      </c>
      <c r="D14" s="317">
        <v>3.0955820000000003</v>
      </c>
      <c r="E14" s="317">
        <v>1.232</v>
      </c>
    </row>
    <row r="15" spans="1:5" s="318" customFormat="1" ht="12.75" customHeight="1">
      <c r="A15" s="319" t="s">
        <v>154</v>
      </c>
      <c r="B15" s="320" t="s">
        <v>245</v>
      </c>
      <c r="C15" s="321">
        <v>6505.55</v>
      </c>
      <c r="D15" s="322">
        <v>2.94854</v>
      </c>
      <c r="E15" s="322">
        <v>1.232</v>
      </c>
    </row>
    <row r="16" spans="1:5" s="318" customFormat="1" ht="12.75" customHeight="1">
      <c r="A16" s="319" t="s">
        <v>173</v>
      </c>
      <c r="B16" s="320" t="s">
        <v>275</v>
      </c>
      <c r="C16" s="321">
        <v>740.3199999999999</v>
      </c>
      <c r="D16" s="322">
        <v>0.051102</v>
      </c>
      <c r="E16" s="322">
        <v>0</v>
      </c>
    </row>
    <row r="17" spans="1:5" s="318" customFormat="1" ht="12.75" customHeight="1">
      <c r="A17" s="319" t="s">
        <v>177</v>
      </c>
      <c r="B17" s="320" t="s">
        <v>279</v>
      </c>
      <c r="C17" s="321">
        <v>1829.9799999999998</v>
      </c>
      <c r="D17" s="322">
        <v>0.00842</v>
      </c>
      <c r="E17" s="322">
        <v>0</v>
      </c>
    </row>
    <row r="18" spans="1:5" s="318" customFormat="1" ht="12.75" customHeight="1">
      <c r="A18" s="319" t="s">
        <v>157</v>
      </c>
      <c r="B18" s="320" t="s">
        <v>285</v>
      </c>
      <c r="C18" s="321">
        <v>18540.52</v>
      </c>
      <c r="D18" s="322">
        <v>0.08752000000000001</v>
      </c>
      <c r="E18" s="322">
        <v>0</v>
      </c>
    </row>
    <row r="19" spans="1:5" s="318" customFormat="1" ht="12.75" customHeight="1">
      <c r="A19" s="319" t="s">
        <v>163</v>
      </c>
      <c r="B19" s="320" t="s">
        <v>291</v>
      </c>
      <c r="C19" s="321">
        <v>725.77</v>
      </c>
      <c r="D19" s="322">
        <v>0</v>
      </c>
      <c r="E19" s="322">
        <v>0</v>
      </c>
    </row>
    <row r="20" spans="1:5" s="318" customFormat="1" ht="12.75" customHeight="1">
      <c r="A20" s="319" t="s">
        <v>300</v>
      </c>
      <c r="B20" s="320" t="s">
        <v>301</v>
      </c>
      <c r="C20" s="321">
        <v>489.17</v>
      </c>
      <c r="D20" s="322">
        <v>0</v>
      </c>
      <c r="E20" s="322">
        <v>0</v>
      </c>
    </row>
    <row r="21" spans="1:5" s="318" customFormat="1" ht="12.75" customHeight="1">
      <c r="A21" s="314" t="s">
        <v>266</v>
      </c>
      <c r="B21" s="315" t="s">
        <v>304</v>
      </c>
      <c r="C21" s="316">
        <v>3036.6</v>
      </c>
      <c r="D21" s="317">
        <v>0</v>
      </c>
      <c r="E21" s="317">
        <v>0</v>
      </c>
    </row>
    <row r="22" spans="1:5" s="318" customFormat="1" ht="12.75" customHeight="1">
      <c r="A22" s="319" t="s">
        <v>305</v>
      </c>
      <c r="B22" s="320" t="s">
        <v>306</v>
      </c>
      <c r="C22" s="321">
        <v>3036.6</v>
      </c>
      <c r="D22" s="322">
        <v>0</v>
      </c>
      <c r="E22" s="322">
        <v>0</v>
      </c>
    </row>
    <row r="23" spans="2:5" s="323" customFormat="1" ht="12.75" customHeight="1">
      <c r="B23" s="324" t="s">
        <v>124</v>
      </c>
      <c r="C23" s="325">
        <v>31867.91</v>
      </c>
      <c r="D23" s="326">
        <v>3.0955820000000003</v>
      </c>
      <c r="E23" s="326">
        <v>1.232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6" sqref="A36:IV36"/>
      <selection pane="bottomLeft" activeCell="A36" sqref="A36:IV36"/>
    </sheetView>
  </sheetViews>
  <sheetFormatPr defaultColWidth="9.140625" defaultRowHeight="11.25" customHeight="1"/>
  <cols>
    <col min="1" max="1" width="9.71093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7.2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">
        <v>502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">
        <v>517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">
        <v>215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H15+H35+H39+H46+H53+H58</f>
        <v>0</v>
      </c>
      <c r="I14" s="446"/>
      <c r="J14" s="448" t="e">
        <f>J15+J27+J30+#REF!+#REF!+J39</f>
        <v>#REF!</v>
      </c>
      <c r="K14" s="446"/>
      <c r="L14" s="448" t="e">
        <f>L15+L27+L30+#REF!+#REF!+L39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SUM(H16:H34)</f>
        <v>0</v>
      </c>
      <c r="I15" s="446"/>
      <c r="J15" s="448">
        <f>SUM(J16:J26)</f>
        <v>1.70842</v>
      </c>
      <c r="K15" s="446"/>
      <c r="L15" s="448">
        <f>SUM(L16:L26)</f>
        <v>0.544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12</v>
      </c>
      <c r="C16" s="419" t="s">
        <v>757</v>
      </c>
      <c r="D16" s="451" t="s">
        <v>246</v>
      </c>
      <c r="E16" s="400" t="s">
        <v>247</v>
      </c>
      <c r="F16" s="401">
        <v>1</v>
      </c>
      <c r="G16" s="402"/>
      <c r="H16" s="402">
        <f aca="true" t="shared" si="0" ref="H16:H34">ROUND(F16*G16,2)</f>
        <v>0</v>
      </c>
      <c r="I16" s="449">
        <v>0</v>
      </c>
      <c r="J16" s="401">
        <f aca="true" t="shared" si="1" ref="J16:J26">F16*I16</f>
        <v>0</v>
      </c>
      <c r="K16" s="449">
        <v>0.235</v>
      </c>
      <c r="L16" s="401">
        <f aca="true" t="shared" si="2" ref="L16:L26">F16*K16</f>
        <v>0.235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12</v>
      </c>
      <c r="C17" s="419" t="s">
        <v>758</v>
      </c>
      <c r="D17" s="451" t="s">
        <v>248</v>
      </c>
      <c r="E17" s="400" t="s">
        <v>247</v>
      </c>
      <c r="F17" s="401">
        <v>1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0.181</v>
      </c>
      <c r="L17" s="401">
        <f t="shared" si="2"/>
        <v>0.181</v>
      </c>
      <c r="M17" s="450">
        <f aca="true" t="shared" si="3" ref="M17:M38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12</v>
      </c>
      <c r="C18" s="419" t="s">
        <v>759</v>
      </c>
      <c r="D18" s="451" t="s">
        <v>249</v>
      </c>
      <c r="E18" s="400" t="s">
        <v>247</v>
      </c>
      <c r="F18" s="401">
        <v>1</v>
      </c>
      <c r="G18" s="402"/>
      <c r="H18" s="402">
        <f t="shared" si="0"/>
        <v>0</v>
      </c>
      <c r="I18" s="449">
        <v>2E-05</v>
      </c>
      <c r="J18" s="401">
        <f t="shared" si="1"/>
        <v>2E-05</v>
      </c>
      <c r="K18" s="449">
        <v>0.128</v>
      </c>
      <c r="L18" s="401">
        <f t="shared" si="2"/>
        <v>0.128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12</v>
      </c>
      <c r="C19" s="419" t="s">
        <v>760</v>
      </c>
      <c r="D19" s="451" t="s">
        <v>250</v>
      </c>
      <c r="E19" s="400" t="s">
        <v>247</v>
      </c>
      <c r="F19" s="401">
        <v>2</v>
      </c>
      <c r="G19" s="402"/>
      <c r="H19" s="402">
        <f t="shared" si="0"/>
        <v>0</v>
      </c>
      <c r="I19" s="449">
        <v>4E-05</v>
      </c>
      <c r="J19" s="401">
        <f t="shared" si="1"/>
        <v>8E-05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12</v>
      </c>
      <c r="C20" s="419" t="s">
        <v>834</v>
      </c>
      <c r="D20" s="451" t="s">
        <v>454</v>
      </c>
      <c r="E20" s="400" t="s">
        <v>252</v>
      </c>
      <c r="F20" s="401">
        <v>24</v>
      </c>
      <c r="G20" s="402"/>
      <c r="H20" s="402">
        <f t="shared" si="0"/>
        <v>0</v>
      </c>
      <c r="I20" s="449">
        <v>0.00868</v>
      </c>
      <c r="J20" s="401">
        <f t="shared" si="1"/>
        <v>0.20832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12</v>
      </c>
      <c r="C21" s="419" t="s">
        <v>835</v>
      </c>
      <c r="D21" s="451" t="s">
        <v>455</v>
      </c>
      <c r="E21" s="400" t="s">
        <v>254</v>
      </c>
      <c r="F21" s="401">
        <v>1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12</v>
      </c>
      <c r="C22" s="419" t="s">
        <v>763</v>
      </c>
      <c r="D22" s="451" t="s">
        <v>255</v>
      </c>
      <c r="E22" s="400" t="s">
        <v>256</v>
      </c>
      <c r="F22" s="401">
        <v>1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8">
        <v>12</v>
      </c>
      <c r="C23" s="419" t="s">
        <v>877</v>
      </c>
      <c r="D23" s="451" t="s">
        <v>313</v>
      </c>
      <c r="E23" s="400" t="s">
        <v>256</v>
      </c>
      <c r="F23" s="401">
        <v>1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12</v>
      </c>
      <c r="C24" s="419" t="s">
        <v>788</v>
      </c>
      <c r="D24" s="451" t="s">
        <v>257</v>
      </c>
      <c r="E24" s="400" t="s">
        <v>258</v>
      </c>
      <c r="F24" s="401">
        <v>1.7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169</v>
      </c>
      <c r="B25" s="408">
        <v>12</v>
      </c>
      <c r="C25" s="419" t="s">
        <v>767</v>
      </c>
      <c r="D25" s="451" t="s">
        <v>259</v>
      </c>
      <c r="E25" s="400" t="s">
        <v>258</v>
      </c>
      <c r="F25" s="401">
        <v>1.5</v>
      </c>
      <c r="G25" s="402"/>
      <c r="H25" s="402">
        <f t="shared" si="0"/>
        <v>0</v>
      </c>
      <c r="I25" s="449">
        <v>1</v>
      </c>
      <c r="J25" s="401">
        <f t="shared" si="1"/>
        <v>1.5</v>
      </c>
      <c r="K25" s="449">
        <v>0</v>
      </c>
      <c r="L25" s="401">
        <f t="shared" si="2"/>
        <v>0</v>
      </c>
      <c r="M25" s="450">
        <f t="shared" si="3"/>
        <v>21</v>
      </c>
      <c r="N25" s="336">
        <v>8</v>
      </c>
      <c r="O25" s="335" t="s">
        <v>161</v>
      </c>
    </row>
    <row r="26" spans="1:15" s="196" customFormat="1" ht="13.5" customHeight="1">
      <c r="A26" s="400" t="s">
        <v>174</v>
      </c>
      <c r="B26" s="408">
        <v>12</v>
      </c>
      <c r="C26" s="419" t="s">
        <v>878</v>
      </c>
      <c r="D26" s="451" t="s">
        <v>504</v>
      </c>
      <c r="E26" s="400" t="s">
        <v>247</v>
      </c>
      <c r="F26" s="401">
        <v>4</v>
      </c>
      <c r="G26" s="402"/>
      <c r="H26" s="402">
        <f t="shared" si="0"/>
        <v>0</v>
      </c>
      <c r="I26" s="449">
        <v>0</v>
      </c>
      <c r="J26" s="401">
        <f t="shared" si="1"/>
        <v>0</v>
      </c>
      <c r="K26" s="449">
        <v>0</v>
      </c>
      <c r="L26" s="401">
        <f t="shared" si="2"/>
        <v>0</v>
      </c>
      <c r="M26" s="450">
        <f t="shared" si="3"/>
        <v>21</v>
      </c>
      <c r="N26" s="334">
        <v>4</v>
      </c>
      <c r="O26" s="196" t="s">
        <v>161</v>
      </c>
    </row>
    <row r="27" spans="1:15" s="318" customFormat="1" ht="13.5" customHeight="1">
      <c r="A27" s="400" t="s">
        <v>186</v>
      </c>
      <c r="B27" s="408">
        <v>12</v>
      </c>
      <c r="C27" s="419" t="s">
        <v>879</v>
      </c>
      <c r="D27" s="451" t="s">
        <v>505</v>
      </c>
      <c r="E27" s="400" t="s">
        <v>247</v>
      </c>
      <c r="F27" s="401">
        <v>4</v>
      </c>
      <c r="G27" s="402"/>
      <c r="H27" s="402">
        <f t="shared" si="0"/>
        <v>0</v>
      </c>
      <c r="I27" s="446"/>
      <c r="J27" s="448">
        <f>SUM(J28:J29)</f>
        <v>1.4530002</v>
      </c>
      <c r="K27" s="446"/>
      <c r="L27" s="448">
        <f>SUM(L28:L29)</f>
        <v>0</v>
      </c>
      <c r="M27" s="450">
        <f t="shared" si="3"/>
        <v>21</v>
      </c>
      <c r="O27" s="320" t="s">
        <v>154</v>
      </c>
    </row>
    <row r="28" spans="1:15" s="196" customFormat="1" ht="13.5" customHeight="1">
      <c r="A28" s="400" t="s">
        <v>159</v>
      </c>
      <c r="B28" s="408">
        <v>12</v>
      </c>
      <c r="C28" s="419" t="s">
        <v>770</v>
      </c>
      <c r="D28" s="451" t="s">
        <v>262</v>
      </c>
      <c r="E28" s="400" t="s">
        <v>258</v>
      </c>
      <c r="F28" s="401">
        <v>0.853</v>
      </c>
      <c r="G28" s="402"/>
      <c r="H28" s="402">
        <f t="shared" si="0"/>
        <v>0</v>
      </c>
      <c r="I28" s="449">
        <v>1.7034</v>
      </c>
      <c r="J28" s="401">
        <f>F28*I28</f>
        <v>1.4530002</v>
      </c>
      <c r="K28" s="449">
        <v>0</v>
      </c>
      <c r="L28" s="401">
        <f>F28*K28</f>
        <v>0</v>
      </c>
      <c r="M28" s="450">
        <f t="shared" si="3"/>
        <v>21</v>
      </c>
      <c r="N28" s="334">
        <v>4</v>
      </c>
      <c r="O28" s="196" t="s">
        <v>161</v>
      </c>
    </row>
    <row r="29" spans="1:15" s="196" customFormat="1" ht="24.75" customHeight="1">
      <c r="A29" s="400" t="s">
        <v>165</v>
      </c>
      <c r="B29" s="408">
        <v>12</v>
      </c>
      <c r="C29" s="419" t="s">
        <v>771</v>
      </c>
      <c r="D29" s="451" t="s">
        <v>431</v>
      </c>
      <c r="E29" s="400" t="s">
        <v>258</v>
      </c>
      <c r="F29" s="401">
        <v>1.7</v>
      </c>
      <c r="G29" s="402"/>
      <c r="H29" s="402">
        <f t="shared" si="0"/>
        <v>0</v>
      </c>
      <c r="I29" s="449">
        <v>0</v>
      </c>
      <c r="J29" s="401">
        <f>F29*I29</f>
        <v>0</v>
      </c>
      <c r="K29" s="449">
        <v>0</v>
      </c>
      <c r="L29" s="401">
        <f>F29*K29</f>
        <v>0</v>
      </c>
      <c r="M29" s="450">
        <f t="shared" si="3"/>
        <v>21</v>
      </c>
      <c r="N29" s="334">
        <v>4</v>
      </c>
      <c r="O29" s="196" t="s">
        <v>161</v>
      </c>
    </row>
    <row r="30" spans="1:15" s="318" customFormat="1" ht="13.5" customHeight="1">
      <c r="A30" s="400" t="s">
        <v>171</v>
      </c>
      <c r="B30" s="408">
        <v>12</v>
      </c>
      <c r="C30" s="419" t="s">
        <v>772</v>
      </c>
      <c r="D30" s="451" t="s">
        <v>264</v>
      </c>
      <c r="E30" s="400" t="s">
        <v>258</v>
      </c>
      <c r="F30" s="401">
        <v>1.7</v>
      </c>
      <c r="G30" s="402"/>
      <c r="H30" s="402">
        <f t="shared" si="0"/>
        <v>0</v>
      </c>
      <c r="I30" s="446"/>
      <c r="J30" s="448">
        <f>SUM(J31:J33)</f>
        <v>0.001782</v>
      </c>
      <c r="K30" s="446"/>
      <c r="L30" s="448">
        <f>SUM(L31:L33)</f>
        <v>0</v>
      </c>
      <c r="M30" s="450">
        <f t="shared" si="3"/>
        <v>21</v>
      </c>
      <c r="O30" s="320" t="s">
        <v>154</v>
      </c>
    </row>
    <row r="31" spans="1:15" s="196" customFormat="1" ht="13.5" customHeight="1">
      <c r="A31" s="400" t="s">
        <v>175</v>
      </c>
      <c r="B31" s="408">
        <v>12</v>
      </c>
      <c r="C31" s="419" t="s">
        <v>774</v>
      </c>
      <c r="D31" s="451" t="s">
        <v>265</v>
      </c>
      <c r="E31" s="400" t="s">
        <v>258</v>
      </c>
      <c r="F31" s="401">
        <v>1.39</v>
      </c>
      <c r="G31" s="402"/>
      <c r="H31" s="402">
        <f t="shared" si="0"/>
        <v>0</v>
      </c>
      <c r="I31" s="449">
        <v>0</v>
      </c>
      <c r="J31" s="401">
        <f aca="true" t="shared" si="4" ref="J31:J38">F31*I31</f>
        <v>0</v>
      </c>
      <c r="K31" s="449">
        <v>0</v>
      </c>
      <c r="L31" s="401">
        <f aca="true" t="shared" si="5" ref="L31:L38">F31*K31</f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13.5" customHeight="1">
      <c r="A32" s="400" t="s">
        <v>179</v>
      </c>
      <c r="B32" s="408">
        <v>12</v>
      </c>
      <c r="C32" s="419" t="s">
        <v>775</v>
      </c>
      <c r="D32" s="451" t="s">
        <v>267</v>
      </c>
      <c r="E32" s="400" t="s">
        <v>268</v>
      </c>
      <c r="F32" s="401">
        <v>1.946</v>
      </c>
      <c r="G32" s="402"/>
      <c r="H32" s="402">
        <f t="shared" si="0"/>
        <v>0</v>
      </c>
      <c r="I32" s="449">
        <v>0</v>
      </c>
      <c r="J32" s="401">
        <f t="shared" si="4"/>
        <v>0</v>
      </c>
      <c r="K32" s="449">
        <v>0</v>
      </c>
      <c r="L32" s="401">
        <f t="shared" si="5"/>
        <v>0</v>
      </c>
      <c r="M32" s="450">
        <f t="shared" si="3"/>
        <v>21</v>
      </c>
      <c r="N32" s="334">
        <v>4</v>
      </c>
      <c r="O32" s="196" t="s">
        <v>161</v>
      </c>
    </row>
    <row r="33" spans="1:15" s="196" customFormat="1" ht="24.75" customHeight="1">
      <c r="A33" s="400" t="s">
        <v>182</v>
      </c>
      <c r="B33" s="408">
        <v>12</v>
      </c>
      <c r="C33" s="419" t="s">
        <v>800</v>
      </c>
      <c r="D33" s="451" t="s">
        <v>269</v>
      </c>
      <c r="E33" s="400" t="s">
        <v>258</v>
      </c>
      <c r="F33" s="401">
        <v>0.495</v>
      </c>
      <c r="G33" s="402"/>
      <c r="H33" s="402">
        <f t="shared" si="0"/>
        <v>0</v>
      </c>
      <c r="I33" s="449">
        <v>0.0036</v>
      </c>
      <c r="J33" s="401">
        <f t="shared" si="4"/>
        <v>0.001782</v>
      </c>
      <c r="K33" s="449">
        <v>0</v>
      </c>
      <c r="L33" s="401">
        <f t="shared" si="5"/>
        <v>0</v>
      </c>
      <c r="M33" s="450">
        <f t="shared" si="3"/>
        <v>21</v>
      </c>
      <c r="N33" s="334">
        <v>4</v>
      </c>
      <c r="O33" s="196" t="s">
        <v>161</v>
      </c>
    </row>
    <row r="34" spans="1:15" s="196" customFormat="1" ht="13.5" customHeight="1">
      <c r="A34" s="400" t="s">
        <v>188</v>
      </c>
      <c r="B34" s="408">
        <v>12</v>
      </c>
      <c r="C34" s="419" t="s">
        <v>880</v>
      </c>
      <c r="D34" s="451" t="s">
        <v>506</v>
      </c>
      <c r="E34" s="400" t="s">
        <v>268</v>
      </c>
      <c r="F34" s="401">
        <v>0.948</v>
      </c>
      <c r="G34" s="402"/>
      <c r="H34" s="402">
        <f t="shared" si="0"/>
        <v>0</v>
      </c>
      <c r="I34" s="449">
        <v>0.024</v>
      </c>
      <c r="J34" s="401">
        <f t="shared" si="4"/>
        <v>0.022751999999999998</v>
      </c>
      <c r="K34" s="449">
        <v>0</v>
      </c>
      <c r="L34" s="401">
        <f t="shared" si="5"/>
        <v>0</v>
      </c>
      <c r="M34" s="450">
        <f t="shared" si="3"/>
        <v>21</v>
      </c>
      <c r="N34" s="336">
        <v>8</v>
      </c>
      <c r="O34" s="335" t="s">
        <v>161</v>
      </c>
    </row>
    <row r="35" spans="1:15" s="196" customFormat="1" ht="13.5" customHeight="1">
      <c r="A35" s="446"/>
      <c r="B35" s="408"/>
      <c r="C35" s="446" t="s">
        <v>173</v>
      </c>
      <c r="D35" s="446" t="s">
        <v>275</v>
      </c>
      <c r="E35" s="446"/>
      <c r="F35" s="446"/>
      <c r="G35" s="446"/>
      <c r="H35" s="447">
        <f>SUM(H36:H38)</f>
        <v>0</v>
      </c>
      <c r="I35" s="449">
        <v>0</v>
      </c>
      <c r="J35" s="401">
        <f t="shared" si="4"/>
        <v>0</v>
      </c>
      <c r="K35" s="449">
        <v>0</v>
      </c>
      <c r="L35" s="401">
        <f t="shared" si="5"/>
        <v>0</v>
      </c>
      <c r="M35" s="450">
        <f t="shared" si="3"/>
        <v>21</v>
      </c>
      <c r="N35" s="334">
        <v>4</v>
      </c>
      <c r="O35" s="196" t="s">
        <v>161</v>
      </c>
    </row>
    <row r="36" spans="1:15" s="196" customFormat="1" ht="13.5" customHeight="1">
      <c r="A36" s="400" t="s">
        <v>190</v>
      </c>
      <c r="B36" s="408">
        <v>12</v>
      </c>
      <c r="C36" s="419" t="s">
        <v>881</v>
      </c>
      <c r="D36" s="451" t="s">
        <v>507</v>
      </c>
      <c r="E36" s="400" t="s">
        <v>258</v>
      </c>
      <c r="F36" s="401">
        <v>0.03</v>
      </c>
      <c r="G36" s="402"/>
      <c r="H36" s="402">
        <f>ROUND(F36*G36,2)</f>
        <v>0</v>
      </c>
      <c r="I36" s="449">
        <v>0</v>
      </c>
      <c r="J36" s="401">
        <f t="shared" si="4"/>
        <v>0</v>
      </c>
      <c r="K36" s="449">
        <v>0</v>
      </c>
      <c r="L36" s="401">
        <f t="shared" si="5"/>
        <v>0</v>
      </c>
      <c r="M36" s="450">
        <f t="shared" si="3"/>
        <v>21</v>
      </c>
      <c r="N36" s="334">
        <v>4</v>
      </c>
      <c r="O36" s="196" t="s">
        <v>161</v>
      </c>
    </row>
    <row r="37" spans="1:15" s="196" customFormat="1" ht="13.5" customHeight="1">
      <c r="A37" s="400" t="s">
        <v>192</v>
      </c>
      <c r="B37" s="408">
        <v>12</v>
      </c>
      <c r="C37" s="419" t="s">
        <v>721</v>
      </c>
      <c r="D37" s="451" t="s">
        <v>276</v>
      </c>
      <c r="E37" s="400" t="s">
        <v>258</v>
      </c>
      <c r="F37" s="401">
        <v>0.08</v>
      </c>
      <c r="G37" s="402"/>
      <c r="H37" s="402">
        <f>ROUND(F37*G37,2)</f>
        <v>0</v>
      </c>
      <c r="I37" s="449">
        <v>0</v>
      </c>
      <c r="J37" s="401">
        <f t="shared" si="4"/>
        <v>0</v>
      </c>
      <c r="K37" s="449">
        <v>0</v>
      </c>
      <c r="L37" s="401">
        <f t="shared" si="5"/>
        <v>0</v>
      </c>
      <c r="M37" s="450">
        <f t="shared" si="3"/>
        <v>21</v>
      </c>
      <c r="N37" s="334">
        <v>4</v>
      </c>
      <c r="O37" s="196" t="s">
        <v>161</v>
      </c>
    </row>
    <row r="38" spans="1:15" s="196" customFormat="1" ht="13.5" customHeight="1">
      <c r="A38" s="400" t="s">
        <v>194</v>
      </c>
      <c r="B38" s="408">
        <v>12</v>
      </c>
      <c r="C38" s="419" t="s">
        <v>882</v>
      </c>
      <c r="D38" s="451" t="s">
        <v>508</v>
      </c>
      <c r="E38" s="400" t="s">
        <v>258</v>
      </c>
      <c r="F38" s="401">
        <v>0.2</v>
      </c>
      <c r="G38" s="402"/>
      <c r="H38" s="402">
        <f>ROUND(F38*G38,2)</f>
        <v>0</v>
      </c>
      <c r="I38" s="449">
        <v>0</v>
      </c>
      <c r="J38" s="401">
        <f t="shared" si="4"/>
        <v>0</v>
      </c>
      <c r="K38" s="449">
        <v>0</v>
      </c>
      <c r="L38" s="401">
        <f t="shared" si="5"/>
        <v>0</v>
      </c>
      <c r="M38" s="450">
        <f t="shared" si="3"/>
        <v>21</v>
      </c>
      <c r="N38" s="334">
        <v>4</v>
      </c>
      <c r="O38" s="196" t="s">
        <v>161</v>
      </c>
    </row>
    <row r="39" spans="1:15" s="318" customFormat="1" ht="13.5" customHeight="1">
      <c r="A39" s="446"/>
      <c r="B39" s="408"/>
      <c r="C39" s="446" t="s">
        <v>177</v>
      </c>
      <c r="D39" s="446" t="s">
        <v>279</v>
      </c>
      <c r="E39" s="446"/>
      <c r="F39" s="446"/>
      <c r="G39" s="446"/>
      <c r="H39" s="447">
        <f>SUM(H40:H45)</f>
        <v>0</v>
      </c>
      <c r="I39" s="446"/>
      <c r="J39" s="448">
        <f>J40</f>
        <v>0</v>
      </c>
      <c r="K39" s="446"/>
      <c r="L39" s="448">
        <f>L40</f>
        <v>0</v>
      </c>
      <c r="M39" s="450"/>
      <c r="O39" s="320" t="s">
        <v>154</v>
      </c>
    </row>
    <row r="40" spans="1:15" s="196" customFormat="1" ht="13.5" customHeight="1">
      <c r="A40" s="400" t="s">
        <v>198</v>
      </c>
      <c r="B40" s="408">
        <v>12</v>
      </c>
      <c r="C40" s="419" t="s">
        <v>723</v>
      </c>
      <c r="D40" s="451" t="s">
        <v>280</v>
      </c>
      <c r="E40" s="400" t="s">
        <v>247</v>
      </c>
      <c r="F40" s="401">
        <v>1</v>
      </c>
      <c r="G40" s="402"/>
      <c r="H40" s="402">
        <f aca="true" t="shared" si="6" ref="H40:H45">ROUND(F40*G40,2)</f>
        <v>0</v>
      </c>
      <c r="I40" s="449">
        <v>0</v>
      </c>
      <c r="J40" s="401">
        <f>F40*I40</f>
        <v>0</v>
      </c>
      <c r="K40" s="449">
        <v>0</v>
      </c>
      <c r="L40" s="401">
        <f>F40*K40</f>
        <v>0</v>
      </c>
      <c r="M40" s="450">
        <f aca="true" t="shared" si="7" ref="M40:M45">$M$16</f>
        <v>21</v>
      </c>
      <c r="N40" s="334">
        <v>4</v>
      </c>
      <c r="O40" s="196" t="s">
        <v>161</v>
      </c>
    </row>
    <row r="41" spans="1:15" s="318" customFormat="1" ht="24.75" customHeight="1">
      <c r="A41" s="400" t="s">
        <v>202</v>
      </c>
      <c r="B41" s="408">
        <v>12</v>
      </c>
      <c r="C41" s="419" t="s">
        <v>724</v>
      </c>
      <c r="D41" s="451" t="s">
        <v>281</v>
      </c>
      <c r="E41" s="400" t="s">
        <v>247</v>
      </c>
      <c r="F41" s="401">
        <v>1</v>
      </c>
      <c r="G41" s="402"/>
      <c r="H41" s="402">
        <f t="shared" si="6"/>
        <v>0</v>
      </c>
      <c r="I41" s="446"/>
      <c r="J41" s="448">
        <f>SUM(J42:J43)</f>
        <v>0</v>
      </c>
      <c r="K41" s="446"/>
      <c r="L41" s="448">
        <f>SUM(L42:L43)</f>
        <v>0</v>
      </c>
      <c r="M41" s="450">
        <f t="shared" si="7"/>
        <v>21</v>
      </c>
      <c r="O41" s="320" t="s">
        <v>154</v>
      </c>
    </row>
    <row r="42" spans="1:15" s="196" customFormat="1" ht="13.5" customHeight="1">
      <c r="A42" s="400" t="s">
        <v>204</v>
      </c>
      <c r="B42" s="408">
        <v>12</v>
      </c>
      <c r="C42" s="419" t="s">
        <v>883</v>
      </c>
      <c r="D42" s="451" t="s">
        <v>509</v>
      </c>
      <c r="E42" s="400" t="s">
        <v>247</v>
      </c>
      <c r="F42" s="401">
        <v>2</v>
      </c>
      <c r="G42" s="402"/>
      <c r="H42" s="402">
        <f t="shared" si="6"/>
        <v>0</v>
      </c>
      <c r="I42" s="449">
        <v>0</v>
      </c>
      <c r="J42" s="401">
        <f>F42*I42</f>
        <v>0</v>
      </c>
      <c r="K42" s="449">
        <v>0</v>
      </c>
      <c r="L42" s="401">
        <f>F42*K42</f>
        <v>0</v>
      </c>
      <c r="M42" s="450">
        <f t="shared" si="7"/>
        <v>21</v>
      </c>
      <c r="N42" s="334">
        <v>64</v>
      </c>
      <c r="O42" s="196" t="s">
        <v>161</v>
      </c>
    </row>
    <row r="43" spans="1:15" s="196" customFormat="1" ht="13.5" customHeight="1">
      <c r="A43" s="400" t="s">
        <v>205</v>
      </c>
      <c r="B43" s="408">
        <v>12</v>
      </c>
      <c r="C43" s="419" t="s">
        <v>725</v>
      </c>
      <c r="D43" s="451" t="s">
        <v>510</v>
      </c>
      <c r="E43" s="400" t="s">
        <v>247</v>
      </c>
      <c r="F43" s="401">
        <v>2</v>
      </c>
      <c r="G43" s="402"/>
      <c r="H43" s="402">
        <f t="shared" si="6"/>
        <v>0</v>
      </c>
      <c r="I43" s="449">
        <v>0</v>
      </c>
      <c r="J43" s="401">
        <f>F43*I43</f>
        <v>0</v>
      </c>
      <c r="K43" s="449">
        <v>0</v>
      </c>
      <c r="L43" s="401">
        <f>F43*K43</f>
        <v>0</v>
      </c>
      <c r="M43" s="450">
        <f t="shared" si="7"/>
        <v>21</v>
      </c>
      <c r="N43" s="334">
        <v>64</v>
      </c>
      <c r="O43" s="196" t="s">
        <v>161</v>
      </c>
    </row>
    <row r="44" spans="1:13" ht="24.75" customHeight="1">
      <c r="A44" s="400" t="s">
        <v>209</v>
      </c>
      <c r="B44" s="408">
        <v>12</v>
      </c>
      <c r="C44" s="419" t="s">
        <v>884</v>
      </c>
      <c r="D44" s="451" t="s">
        <v>511</v>
      </c>
      <c r="E44" s="400" t="s">
        <v>247</v>
      </c>
      <c r="F44" s="401">
        <v>2</v>
      </c>
      <c r="G44" s="402"/>
      <c r="H44" s="402">
        <f t="shared" si="6"/>
        <v>0</v>
      </c>
      <c r="I44" s="453"/>
      <c r="J44" s="453"/>
      <c r="K44" s="453"/>
      <c r="L44" s="453"/>
      <c r="M44" s="450">
        <f t="shared" si="7"/>
        <v>21</v>
      </c>
    </row>
    <row r="45" spans="1:13" ht="13.5" customHeight="1">
      <c r="A45" s="400" t="s">
        <v>211</v>
      </c>
      <c r="B45" s="408">
        <v>12</v>
      </c>
      <c r="C45" s="419" t="s">
        <v>727</v>
      </c>
      <c r="D45" s="451" t="s">
        <v>284</v>
      </c>
      <c r="E45" s="400" t="s">
        <v>256</v>
      </c>
      <c r="F45" s="401">
        <v>2</v>
      </c>
      <c r="G45" s="402"/>
      <c r="H45" s="402">
        <f t="shared" si="6"/>
        <v>0</v>
      </c>
      <c r="I45" s="453"/>
      <c r="J45" s="453"/>
      <c r="K45" s="453"/>
      <c r="L45" s="453"/>
      <c r="M45" s="450">
        <f t="shared" si="7"/>
        <v>21</v>
      </c>
    </row>
    <row r="46" spans="1:13" ht="13.5" customHeight="1">
      <c r="A46" s="446"/>
      <c r="B46" s="408"/>
      <c r="C46" s="446" t="s">
        <v>157</v>
      </c>
      <c r="D46" s="446" t="s">
        <v>285</v>
      </c>
      <c r="E46" s="446"/>
      <c r="F46" s="446"/>
      <c r="G46" s="446"/>
      <c r="H46" s="447">
        <f>SUM(H47:H52)</f>
        <v>0</v>
      </c>
      <c r="I46" s="453"/>
      <c r="J46" s="453"/>
      <c r="K46" s="453"/>
      <c r="L46" s="453"/>
      <c r="M46" s="450"/>
    </row>
    <row r="47" spans="1:13" ht="13.5" customHeight="1">
      <c r="A47" s="400" t="s">
        <v>213</v>
      </c>
      <c r="B47" s="408">
        <v>12</v>
      </c>
      <c r="C47" s="419" t="s">
        <v>792</v>
      </c>
      <c r="D47" s="451" t="s">
        <v>404</v>
      </c>
      <c r="E47" s="400" t="s">
        <v>317</v>
      </c>
      <c r="F47" s="401">
        <v>1</v>
      </c>
      <c r="G47" s="402"/>
      <c r="H47" s="402">
        <f aca="true" t="shared" si="8" ref="H47:H52">ROUND(F47*G47,2)</f>
        <v>0</v>
      </c>
      <c r="I47" s="453"/>
      <c r="J47" s="453"/>
      <c r="K47" s="453"/>
      <c r="L47" s="453"/>
      <c r="M47" s="450">
        <f aca="true" t="shared" si="9" ref="M47:M57">$M$16</f>
        <v>21</v>
      </c>
    </row>
    <row r="48" spans="1:13" ht="24.75" customHeight="1">
      <c r="A48" s="400" t="s">
        <v>287</v>
      </c>
      <c r="B48" s="408">
        <v>12</v>
      </c>
      <c r="C48" s="419" t="s">
        <v>804</v>
      </c>
      <c r="D48" s="451" t="s">
        <v>416</v>
      </c>
      <c r="E48" s="400" t="s">
        <v>256</v>
      </c>
      <c r="F48" s="401">
        <v>1</v>
      </c>
      <c r="G48" s="402"/>
      <c r="H48" s="402">
        <f t="shared" si="8"/>
        <v>0</v>
      </c>
      <c r="I48" s="453"/>
      <c r="J48" s="453"/>
      <c r="K48" s="453"/>
      <c r="L48" s="453"/>
      <c r="M48" s="450">
        <f t="shared" si="9"/>
        <v>21</v>
      </c>
    </row>
    <row r="49" spans="1:13" ht="13.5" customHeight="1">
      <c r="A49" s="400" t="s">
        <v>289</v>
      </c>
      <c r="B49" s="408">
        <v>12</v>
      </c>
      <c r="C49" s="419" t="s">
        <v>805</v>
      </c>
      <c r="D49" s="451" t="s">
        <v>417</v>
      </c>
      <c r="E49" s="400" t="s">
        <v>256</v>
      </c>
      <c r="F49" s="401">
        <v>1.015</v>
      </c>
      <c r="G49" s="402"/>
      <c r="H49" s="402">
        <f t="shared" si="8"/>
        <v>0</v>
      </c>
      <c r="I49" s="453"/>
      <c r="J49" s="453"/>
      <c r="K49" s="453"/>
      <c r="L49" s="453"/>
      <c r="M49" s="450">
        <f t="shared" si="9"/>
        <v>21</v>
      </c>
    </row>
    <row r="50" spans="1:13" ht="13.5" customHeight="1">
      <c r="A50" s="400" t="s">
        <v>292</v>
      </c>
      <c r="B50" s="408">
        <v>12</v>
      </c>
      <c r="C50" s="419" t="s">
        <v>885</v>
      </c>
      <c r="D50" s="451" t="s">
        <v>512</v>
      </c>
      <c r="E50" s="400" t="s">
        <v>256</v>
      </c>
      <c r="F50" s="401">
        <v>1</v>
      </c>
      <c r="G50" s="402"/>
      <c r="H50" s="402">
        <f t="shared" si="8"/>
        <v>0</v>
      </c>
      <c r="I50" s="453"/>
      <c r="J50" s="453"/>
      <c r="K50" s="453"/>
      <c r="L50" s="453"/>
      <c r="M50" s="450">
        <f t="shared" si="9"/>
        <v>21</v>
      </c>
    </row>
    <row r="51" spans="1:13" ht="13.5" customHeight="1">
      <c r="A51" s="400" t="s">
        <v>294</v>
      </c>
      <c r="B51" s="408">
        <v>12</v>
      </c>
      <c r="C51" s="419" t="s">
        <v>886</v>
      </c>
      <c r="D51" s="451" t="s">
        <v>513</v>
      </c>
      <c r="E51" s="400" t="s">
        <v>274</v>
      </c>
      <c r="F51" s="401">
        <v>1</v>
      </c>
      <c r="G51" s="402"/>
      <c r="H51" s="402">
        <f t="shared" si="8"/>
        <v>0</v>
      </c>
      <c r="I51" s="453"/>
      <c r="J51" s="453"/>
      <c r="K51" s="453"/>
      <c r="L51" s="453"/>
      <c r="M51" s="450">
        <f t="shared" si="9"/>
        <v>21</v>
      </c>
    </row>
    <row r="52" spans="1:13" ht="13.5" customHeight="1">
      <c r="A52" s="400" t="s">
        <v>296</v>
      </c>
      <c r="B52" s="408">
        <v>12</v>
      </c>
      <c r="C52" s="419" t="s">
        <v>887</v>
      </c>
      <c r="D52" s="451" t="s">
        <v>514</v>
      </c>
      <c r="E52" s="400" t="s">
        <v>274</v>
      </c>
      <c r="F52" s="401">
        <v>1</v>
      </c>
      <c r="G52" s="402"/>
      <c r="H52" s="402">
        <f t="shared" si="8"/>
        <v>0</v>
      </c>
      <c r="I52" s="453"/>
      <c r="J52" s="453"/>
      <c r="K52" s="453"/>
      <c r="L52" s="453"/>
      <c r="M52" s="450">
        <f t="shared" si="9"/>
        <v>21</v>
      </c>
    </row>
    <row r="53" spans="1:13" ht="13.5" customHeight="1">
      <c r="A53" s="446"/>
      <c r="B53" s="408"/>
      <c r="C53" s="446" t="s">
        <v>163</v>
      </c>
      <c r="D53" s="446" t="s">
        <v>291</v>
      </c>
      <c r="E53" s="446"/>
      <c r="F53" s="446"/>
      <c r="G53" s="446"/>
      <c r="H53" s="447">
        <f>SUM(H54:H57)</f>
        <v>0</v>
      </c>
      <c r="I53" s="453"/>
      <c r="J53" s="453"/>
      <c r="K53" s="453"/>
      <c r="L53" s="453"/>
      <c r="M53" s="450">
        <f t="shared" si="9"/>
        <v>21</v>
      </c>
    </row>
    <row r="54" spans="1:13" ht="13.5" customHeight="1">
      <c r="A54" s="400" t="s">
        <v>298</v>
      </c>
      <c r="B54" s="408">
        <v>12</v>
      </c>
      <c r="C54" s="419" t="s">
        <v>750</v>
      </c>
      <c r="D54" s="451" t="s">
        <v>293</v>
      </c>
      <c r="E54" s="400" t="s">
        <v>256</v>
      </c>
      <c r="F54" s="401">
        <v>2</v>
      </c>
      <c r="G54" s="402"/>
      <c r="H54" s="402">
        <f>ROUND(F54*G54,2)</f>
        <v>0</v>
      </c>
      <c r="I54" s="453"/>
      <c r="J54" s="453"/>
      <c r="K54" s="453"/>
      <c r="L54" s="453"/>
      <c r="M54" s="450">
        <f t="shared" si="9"/>
        <v>21</v>
      </c>
    </row>
    <row r="55" spans="1:13" ht="13.5" customHeight="1">
      <c r="A55" s="400" t="s">
        <v>302</v>
      </c>
      <c r="B55" s="408">
        <v>12</v>
      </c>
      <c r="C55" s="419" t="s">
        <v>751</v>
      </c>
      <c r="D55" s="451" t="s">
        <v>295</v>
      </c>
      <c r="E55" s="400" t="s">
        <v>268</v>
      </c>
      <c r="F55" s="401">
        <v>1.232</v>
      </c>
      <c r="G55" s="402"/>
      <c r="H55" s="402">
        <f>ROUND(F55*G55,2)</f>
        <v>0</v>
      </c>
      <c r="I55" s="453"/>
      <c r="J55" s="453"/>
      <c r="K55" s="453"/>
      <c r="L55" s="453"/>
      <c r="M55" s="450">
        <f t="shared" si="9"/>
        <v>21</v>
      </c>
    </row>
    <row r="56" spans="1:13" ht="13.5" customHeight="1">
      <c r="A56" s="400" t="s">
        <v>307</v>
      </c>
      <c r="B56" s="408">
        <v>12</v>
      </c>
      <c r="C56" s="419" t="s">
        <v>752</v>
      </c>
      <c r="D56" s="451" t="s">
        <v>297</v>
      </c>
      <c r="E56" s="400" t="s">
        <v>268</v>
      </c>
      <c r="F56" s="401">
        <v>11.088</v>
      </c>
      <c r="G56" s="402"/>
      <c r="H56" s="402">
        <f>ROUND(F56*G56,2)</f>
        <v>0</v>
      </c>
      <c r="I56" s="453"/>
      <c r="J56" s="453"/>
      <c r="K56" s="453"/>
      <c r="L56" s="453"/>
      <c r="M56" s="450">
        <f t="shared" si="9"/>
        <v>21</v>
      </c>
    </row>
    <row r="57" spans="1:13" ht="13.5" customHeight="1">
      <c r="A57" s="400" t="s">
        <v>310</v>
      </c>
      <c r="B57" s="408">
        <v>12</v>
      </c>
      <c r="C57" s="419" t="s">
        <v>832</v>
      </c>
      <c r="D57" s="451" t="s">
        <v>449</v>
      </c>
      <c r="E57" s="400" t="s">
        <v>268</v>
      </c>
      <c r="F57" s="401">
        <v>1.232</v>
      </c>
      <c r="G57" s="402"/>
      <c r="H57" s="402">
        <f>ROUND(F57*G57,2)</f>
        <v>0</v>
      </c>
      <c r="I57" s="453"/>
      <c r="J57" s="453"/>
      <c r="K57" s="453"/>
      <c r="L57" s="453"/>
      <c r="M57" s="450">
        <f t="shared" si="9"/>
        <v>21</v>
      </c>
    </row>
    <row r="58" spans="1:13" ht="13.5" customHeight="1">
      <c r="A58" s="446"/>
      <c r="B58" s="408"/>
      <c r="C58" s="446" t="s">
        <v>300</v>
      </c>
      <c r="D58" s="446" t="s">
        <v>301</v>
      </c>
      <c r="E58" s="446"/>
      <c r="F58" s="446"/>
      <c r="G58" s="446"/>
      <c r="H58" s="447">
        <f>H59</f>
        <v>0</v>
      </c>
      <c r="I58" s="453"/>
      <c r="J58" s="453"/>
      <c r="K58" s="453"/>
      <c r="L58" s="453"/>
      <c r="M58" s="450"/>
    </row>
    <row r="59" spans="1:13" ht="13.5" customHeight="1">
      <c r="A59" s="400" t="s">
        <v>322</v>
      </c>
      <c r="B59" s="408">
        <v>12</v>
      </c>
      <c r="C59" s="419" t="s">
        <v>754</v>
      </c>
      <c r="D59" s="451" t="s">
        <v>303</v>
      </c>
      <c r="E59" s="400" t="s">
        <v>268</v>
      </c>
      <c r="F59" s="401">
        <v>3.096</v>
      </c>
      <c r="G59" s="402"/>
      <c r="H59" s="402">
        <f>ROUND(F59*G59,2)</f>
        <v>0</v>
      </c>
      <c r="I59" s="453"/>
      <c r="J59" s="453"/>
      <c r="K59" s="453"/>
      <c r="L59" s="453"/>
      <c r="M59" s="450">
        <f>$M$16</f>
        <v>21</v>
      </c>
    </row>
    <row r="60" spans="1:13" ht="13.5" customHeight="1">
      <c r="A60" s="446"/>
      <c r="B60" s="408"/>
      <c r="C60" s="446" t="s">
        <v>266</v>
      </c>
      <c r="D60" s="446" t="s">
        <v>304</v>
      </c>
      <c r="E60" s="446"/>
      <c r="F60" s="446"/>
      <c r="G60" s="446"/>
      <c r="H60" s="447">
        <f>H61</f>
        <v>0</v>
      </c>
      <c r="I60" s="453"/>
      <c r="J60" s="453"/>
      <c r="K60" s="453"/>
      <c r="L60" s="453"/>
      <c r="M60" s="450"/>
    </row>
    <row r="61" spans="1:13" ht="13.5" customHeight="1">
      <c r="A61" s="446"/>
      <c r="B61" s="408"/>
      <c r="C61" s="446" t="s">
        <v>305</v>
      </c>
      <c r="D61" s="446" t="s">
        <v>306</v>
      </c>
      <c r="E61" s="446"/>
      <c r="F61" s="446"/>
      <c r="G61" s="446"/>
      <c r="H61" s="447">
        <f>SUM(H62:H63)</f>
        <v>0</v>
      </c>
      <c r="I61" s="453"/>
      <c r="J61" s="453"/>
      <c r="K61" s="453"/>
      <c r="L61" s="453"/>
      <c r="M61" s="450"/>
    </row>
    <row r="62" spans="1:13" ht="13.5" customHeight="1">
      <c r="A62" s="400" t="s">
        <v>324</v>
      </c>
      <c r="B62" s="408">
        <v>12</v>
      </c>
      <c r="C62" s="419" t="s">
        <v>796</v>
      </c>
      <c r="D62" s="451" t="s">
        <v>409</v>
      </c>
      <c r="E62" s="400" t="s">
        <v>309</v>
      </c>
      <c r="F62" s="401">
        <v>1</v>
      </c>
      <c r="G62" s="402"/>
      <c r="H62" s="402">
        <f>ROUND(F62*G62,2)</f>
        <v>0</v>
      </c>
      <c r="I62" s="453"/>
      <c r="J62" s="453"/>
      <c r="K62" s="453"/>
      <c r="L62" s="453"/>
      <c r="M62" s="450">
        <f>$M$16</f>
        <v>21</v>
      </c>
    </row>
    <row r="63" spans="1:13" ht="13.5" customHeight="1">
      <c r="A63" s="400" t="s">
        <v>326</v>
      </c>
      <c r="B63" s="408">
        <v>12</v>
      </c>
      <c r="C63" s="419" t="s">
        <v>798</v>
      </c>
      <c r="D63" s="451" t="s">
        <v>411</v>
      </c>
      <c r="E63" s="400" t="s">
        <v>256</v>
      </c>
      <c r="F63" s="401">
        <v>1</v>
      </c>
      <c r="G63" s="402"/>
      <c r="H63" s="402">
        <f>ROUND(F63*G63,2)</f>
        <v>0</v>
      </c>
      <c r="I63" s="453"/>
      <c r="J63" s="453"/>
      <c r="K63" s="453"/>
      <c r="L63" s="453"/>
      <c r="M63" s="450">
        <f>$M$16</f>
        <v>21</v>
      </c>
    </row>
    <row r="64" spans="1:13" ht="13.5" customHeight="1">
      <c r="A64" s="399"/>
      <c r="B64" s="453"/>
      <c r="C64" s="399"/>
      <c r="D64" s="399" t="s">
        <v>124</v>
      </c>
      <c r="E64" s="399"/>
      <c r="F64" s="399"/>
      <c r="G64" s="399"/>
      <c r="H64" s="454">
        <f>H14+H60</f>
        <v>0</v>
      </c>
      <c r="I64" s="453"/>
      <c r="J64" s="453"/>
      <c r="K64" s="453"/>
      <c r="L64" s="453"/>
      <c r="M64" s="453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  <rowBreaks count="1" manualBreakCount="1">
    <brk id="52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4">
      <selection activeCell="V42" sqref="V42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519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114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337" t="s">
        <v>215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1" t="s">
        <v>215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SUMIF('[9]Rozpocet'!O5:O65535,8,'[9]Rozpocet'!I5:I65535)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54377.38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SUMIF('[9]Rozpocet'!O10:O65536,4,'[9]Rozpocet'!I10:I65536)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SUMIF('[9]Rozpocet'!O11:O65536,32,'[9]Rozpocet'!I11:I65536)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SUMIF('[9]Rozpocet'!O12:O65536,16,'[9]Rozpocet'!I12:I65536)+SUMIF('[9]Rozpocet'!O12:O65536,128,'[9]Rozpocet'!I12:I65536)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SUMIF('[9]Rozpocet'!O13:O65536,256,'[9]Rozpocet'!I13:I65536)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SUMIF('[9]Rozpocet'!O14:O65536,64,'[9]Rozpocet'!I14:I65536)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SUMIF('[9]Rozpocet'!O14:O65536,1024,'[9]Rozpocet'!I14:I65536)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SUMIF('[9]Rozpocet'!O14:O65536,512,'[9]Rozpocet'!I14:I65536)</f>
        <v>#VALUE!</v>
      </c>
      <c r="F45" s="223"/>
      <c r="G45" s="267">
        <v>21</v>
      </c>
      <c r="H45" s="268" t="s">
        <v>193</v>
      </c>
      <c r="I45" s="270"/>
      <c r="J45" s="272">
        <v>28270.84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SUMIF('[9]Rozpocet'!O14:O65536,"&lt;4",'[9]Rozpocet'!I14:I65536)+SUMIF('[9]Rozpocet'!O14:O65536,"&gt;1024",'[9]Rozpocet'!I14:I65536)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SUMIF('[9]Rozpocet'!N14:N65536,M49,'[9]Rozpocet'!I14:I65536)+SUMIF(P38:P42,M49,R38:R42)+IF(K45=M49,J45,0)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'[9]Krycí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'[9]Krycí list'!E7</f>
        <v>SO 03 Odlehčovací komora</v>
      </c>
      <c r="C3" s="301"/>
      <c r="D3" s="299"/>
      <c r="E3" s="302"/>
    </row>
    <row r="4" spans="1:5" ht="12" customHeight="1">
      <c r="A4" s="298" t="s">
        <v>226</v>
      </c>
      <c r="B4" s="299" t="str">
        <f>'[9]Krycí list'!E9</f>
        <v> </v>
      </c>
      <c r="C4" s="301"/>
      <c r="D4" s="299"/>
      <c r="E4" s="302"/>
    </row>
    <row r="5" spans="1:5" ht="12" customHeight="1">
      <c r="A5" s="299" t="s">
        <v>227</v>
      </c>
      <c r="B5" s="299" t="str">
        <f>'[9]Krycí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'[9]Krycí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'[9]Krycí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'[9]Rozpocet'!D14</f>
        <v>HSV</v>
      </c>
      <c r="B14" s="315" t="str">
        <f>'[9]Rozpocet'!E14</f>
        <v>Práce a dodávky HSV</v>
      </c>
      <c r="C14" s="316">
        <f>'[9]Rozpocet'!I14</f>
        <v>2131000.0399999996</v>
      </c>
      <c r="D14" s="317">
        <f>'[9]Rozpocet'!K14</f>
        <v>341.87088925000006</v>
      </c>
      <c r="E14" s="317">
        <f>'[9]Rozpocet'!M14</f>
        <v>0</v>
      </c>
    </row>
    <row r="15" spans="1:5" s="318" customFormat="1" ht="12.75" customHeight="1">
      <c r="A15" s="319" t="str">
        <f>'[9]Rozpocet'!D15</f>
        <v>1</v>
      </c>
      <c r="B15" s="320" t="str">
        <f>'[9]Rozpocet'!E15</f>
        <v>Zemní práce</v>
      </c>
      <c r="C15" s="321">
        <f>'[9]Rozpocet'!I15</f>
        <v>1141659.95</v>
      </c>
      <c r="D15" s="322">
        <f>'[9]Rozpocet'!K15</f>
        <v>198.01047880000002</v>
      </c>
      <c r="E15" s="322">
        <f>'[9]Rozpocet'!M15</f>
        <v>0</v>
      </c>
    </row>
    <row r="16" spans="1:5" s="318" customFormat="1" ht="12.75" customHeight="1">
      <c r="A16" s="319" t="str">
        <f>'[9]Rozpocet'!D33</f>
        <v>2</v>
      </c>
      <c r="B16" s="320" t="str">
        <f>'[9]Rozpocet'!E33</f>
        <v>Zakládání</v>
      </c>
      <c r="C16" s="321">
        <f>'[9]Rozpocet'!I33</f>
        <v>4568.71</v>
      </c>
      <c r="D16" s="322">
        <f>'[9]Rozpocet'!K33</f>
        <v>3.67247853</v>
      </c>
      <c r="E16" s="322">
        <f>'[9]Rozpocet'!M33</f>
        <v>0</v>
      </c>
    </row>
    <row r="17" spans="1:5" s="318" customFormat="1" ht="12.75" customHeight="1">
      <c r="A17" s="319" t="str">
        <f>'[9]Rozpocet'!D37</f>
        <v>3</v>
      </c>
      <c r="B17" s="320" t="str">
        <f>'[9]Rozpocet'!E37</f>
        <v>Svislé a kompletní konstrukce</v>
      </c>
      <c r="C17" s="321">
        <f>'[9]Rozpocet'!I37</f>
        <v>517123.34</v>
      </c>
      <c r="D17" s="322">
        <f>'[9]Rozpocet'!K37</f>
        <v>112.37166272</v>
      </c>
      <c r="E17" s="322">
        <f>'[9]Rozpocet'!M37</f>
        <v>0</v>
      </c>
    </row>
    <row r="18" spans="1:5" s="318" customFormat="1" ht="12.75" customHeight="1">
      <c r="A18" s="319" t="str">
        <f>'[9]Rozpocet'!D43</f>
        <v>6</v>
      </c>
      <c r="B18" s="320" t="str">
        <f>'[9]Rozpocet'!E43</f>
        <v>Úpravy povrchu, podlahy, osazení</v>
      </c>
      <c r="C18" s="321">
        <f>'[9]Rozpocet'!I43</f>
        <v>26548.21</v>
      </c>
      <c r="D18" s="322">
        <f>'[9]Rozpocet'!K43</f>
        <v>24.967107199999994</v>
      </c>
      <c r="E18" s="322">
        <f>'[9]Rozpocet'!M43</f>
        <v>0</v>
      </c>
    </row>
    <row r="19" spans="1:5" s="318" customFormat="1" ht="12.75" customHeight="1">
      <c r="A19" s="319" t="str">
        <f>'[9]Rozpocet'!D48</f>
        <v>8</v>
      </c>
      <c r="B19" s="320" t="str">
        <f>'[9]Rozpocet'!E48</f>
        <v>Trubní vedení</v>
      </c>
      <c r="C19" s="321">
        <f>'[9]Rozpocet'!I48</f>
        <v>163146.90000000002</v>
      </c>
      <c r="D19" s="322">
        <f>'[9]Rozpocet'!K48</f>
        <v>2.2998200000000004</v>
      </c>
      <c r="E19" s="322">
        <f>'[9]Rozpocet'!M48</f>
        <v>0</v>
      </c>
    </row>
    <row r="20" spans="1:5" s="318" customFormat="1" ht="12.75" customHeight="1">
      <c r="A20" s="319" t="str">
        <f>'[9]Rozpocet'!D63</f>
        <v>9</v>
      </c>
      <c r="B20" s="320" t="str">
        <f>'[9]Rozpocet'!E63</f>
        <v>Ostatní konstrukce a práce-bourání</v>
      </c>
      <c r="C20" s="321">
        <f>'[9]Rozpocet'!I63</f>
        <v>33515.16</v>
      </c>
      <c r="D20" s="322">
        <f>'[9]Rozpocet'!K63</f>
        <v>0.549342</v>
      </c>
      <c r="E20" s="322">
        <f>'[9]Rozpocet'!M63</f>
        <v>0</v>
      </c>
    </row>
    <row r="21" spans="1:5" s="318" customFormat="1" ht="12.75" customHeight="1">
      <c r="A21" s="319" t="str">
        <f>'[9]Rozpocet'!D67</f>
        <v>99</v>
      </c>
      <c r="B21" s="320" t="str">
        <f>'[9]Rozpocet'!E67</f>
        <v>Přesun hmot</v>
      </c>
      <c r="C21" s="321">
        <f>'[9]Rozpocet'!I67</f>
        <v>244437.77</v>
      </c>
      <c r="D21" s="322">
        <f>'[9]Rozpocet'!K67</f>
        <v>0</v>
      </c>
      <c r="E21" s="322">
        <f>'[9]Rozpocet'!M67</f>
        <v>0</v>
      </c>
    </row>
    <row r="22" spans="1:5" s="318" customFormat="1" ht="12.75" customHeight="1">
      <c r="A22" s="314" t="str">
        <f>'[9]Rozpocet'!D69</f>
        <v>PSV</v>
      </c>
      <c r="B22" s="315" t="str">
        <f>'[9]Rozpocet'!E69</f>
        <v>Práce a dodávky PSV</v>
      </c>
      <c r="C22" s="316">
        <f>'[9]Rozpocet'!I69</f>
        <v>134724.22</v>
      </c>
      <c r="D22" s="317">
        <f>'[9]Rozpocet'!K69</f>
        <v>2.02930746</v>
      </c>
      <c r="E22" s="317">
        <f>'[9]Rozpocet'!M69</f>
        <v>0</v>
      </c>
    </row>
    <row r="23" spans="1:5" s="318" customFormat="1" ht="12.75" customHeight="1">
      <c r="A23" s="319" t="str">
        <f>'[9]Rozpocet'!D70</f>
        <v>711</v>
      </c>
      <c r="B23" s="320" t="str">
        <f>'[9]Rozpocet'!E70</f>
        <v>Izolace proti vodě, vlhkosti a plynům</v>
      </c>
      <c r="C23" s="321">
        <f>'[9]Rozpocet'!I70</f>
        <v>32665.750000000004</v>
      </c>
      <c r="D23" s="322">
        <f>'[9]Rozpocet'!K70</f>
        <v>0.67129575</v>
      </c>
      <c r="E23" s="322">
        <f>'[9]Rozpocet'!M70</f>
        <v>0</v>
      </c>
    </row>
    <row r="24" spans="1:5" s="318" customFormat="1" ht="12.75" customHeight="1">
      <c r="A24" s="319" t="str">
        <f>'[9]Rozpocet'!D84</f>
        <v>767</v>
      </c>
      <c r="B24" s="320" t="str">
        <f>'[9]Rozpocet'!E84</f>
        <v>Konstrukce zámečnické</v>
      </c>
      <c r="C24" s="321">
        <f>'[9]Rozpocet'!I84</f>
        <v>14785.66</v>
      </c>
      <c r="D24" s="322">
        <f>'[9]Rozpocet'!K84</f>
        <v>0</v>
      </c>
      <c r="E24" s="322">
        <f>'[9]Rozpocet'!M84</f>
        <v>0</v>
      </c>
    </row>
    <row r="25" spans="1:5" s="318" customFormat="1" ht="12.75" customHeight="1">
      <c r="A25" s="319" t="str">
        <f>'[9]Rozpocet'!D88</f>
        <v>771</v>
      </c>
      <c r="B25" s="320" t="str">
        <f>'[9]Rozpocet'!E88</f>
        <v>Podlahy z dlaždic</v>
      </c>
      <c r="C25" s="321">
        <f>'[9]Rozpocet'!I88</f>
        <v>32903.57</v>
      </c>
      <c r="D25" s="322">
        <f>'[9]Rozpocet'!K88</f>
        <v>0.6542612000000001</v>
      </c>
      <c r="E25" s="322">
        <f>'[9]Rozpocet'!M88</f>
        <v>0</v>
      </c>
    </row>
    <row r="26" spans="1:5" s="318" customFormat="1" ht="12.75" customHeight="1">
      <c r="A26" s="319" t="str">
        <f>'[9]Rozpocet'!D93</f>
        <v>781</v>
      </c>
      <c r="B26" s="320" t="str">
        <f>'[9]Rozpocet'!E93</f>
        <v>Dokončovací práce - obklady keramické</v>
      </c>
      <c r="C26" s="321">
        <f>'[9]Rozpocet'!I93</f>
        <v>35648.08</v>
      </c>
      <c r="D26" s="322">
        <f>'[9]Rozpocet'!K93</f>
        <v>0.65897326</v>
      </c>
      <c r="E26" s="322">
        <f>'[9]Rozpocet'!M93</f>
        <v>0</v>
      </c>
    </row>
    <row r="27" spans="1:5" s="318" customFormat="1" ht="12.75" customHeight="1">
      <c r="A27" s="319" t="str">
        <f>'[9]Rozpocet'!D98</f>
        <v>783</v>
      </c>
      <c r="B27" s="320" t="str">
        <f>'[9]Rozpocet'!E98</f>
        <v>Dokončovací práce - nátěry</v>
      </c>
      <c r="C27" s="321">
        <f>'[9]Rozpocet'!I98</f>
        <v>18721.16</v>
      </c>
      <c r="D27" s="322">
        <f>'[9]Rozpocet'!K98</f>
        <v>0.04477725</v>
      </c>
      <c r="E27" s="322">
        <f>'[9]Rozpocet'!M98</f>
        <v>0</v>
      </c>
    </row>
    <row r="28" spans="2:5" s="323" customFormat="1" ht="12.75" customHeight="1">
      <c r="B28" s="324" t="s">
        <v>124</v>
      </c>
      <c r="C28" s="325">
        <f>'[9]Rozpocet'!I100</f>
        <v>2265724.26</v>
      </c>
      <c r="D28" s="326">
        <f>'[9]Rozpocet'!K100</f>
        <v>343.90019671000005</v>
      </c>
      <c r="E28" s="326">
        <f>'[9]Rozpocet'!M100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view="pageBreakPreview" zoomScaleSheetLayoutView="100" zoomScalePageLayoutView="0" workbookViewId="0" topLeftCell="A1">
      <pane ySplit="13" topLeftCell="A20" activePane="bottomLeft" state="frozen"/>
      <selection pane="topLeft" activeCell="A36" sqref="A36:IV36"/>
      <selection pane="bottomLeft" activeCell="A36" sqref="A36:IV36"/>
    </sheetView>
  </sheetViews>
  <sheetFormatPr defaultColWidth="9.140625" defaultRowHeight="11.25" customHeight="1"/>
  <cols>
    <col min="1" max="1" width="9.574218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6.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'[9]Krycí list'!E7</f>
        <v>SO 03 Odlehčovací komora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'[9]Krycí list'!E9</f>
        <v> 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'[9]Krycí list'!P5</f>
        <v> 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H15+H34+H38+H45+H50+H65+H69</f>
        <v>0</v>
      </c>
      <c r="I14" s="446"/>
      <c r="J14" s="448" t="e">
        <f>J15+J29+#REF!+#REF!+#REF!+#REF!+#REF!</f>
        <v>#REF!</v>
      </c>
      <c r="K14" s="446"/>
      <c r="L14" s="448" t="e">
        <f>L15+L29+#REF!+#REF!+#REF!+#REF!+#REF!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SUM(H16:H33)</f>
        <v>0</v>
      </c>
      <c r="I15" s="446"/>
      <c r="J15" s="448">
        <f>SUM(J16:J28)</f>
        <v>230.08109187999997</v>
      </c>
      <c r="K15" s="446"/>
      <c r="L15" s="448">
        <f>SUM(L16:L28)</f>
        <v>0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13</v>
      </c>
      <c r="C16" s="420" t="s">
        <v>761</v>
      </c>
      <c r="D16" s="451" t="s">
        <v>251</v>
      </c>
      <c r="E16" s="400" t="s">
        <v>252</v>
      </c>
      <c r="F16" s="401">
        <v>720</v>
      </c>
      <c r="G16" s="402"/>
      <c r="H16" s="402">
        <f aca="true" t="shared" si="0" ref="H16:H22">ROUND(F16*G16,2)</f>
        <v>0</v>
      </c>
      <c r="I16" s="449">
        <v>4E-05</v>
      </c>
      <c r="J16" s="401">
        <f aca="true" t="shared" si="1" ref="J16:J28">F16*I16</f>
        <v>0.028800000000000003</v>
      </c>
      <c r="K16" s="449">
        <v>0</v>
      </c>
      <c r="L16" s="401">
        <f aca="true" t="shared" si="2" ref="L16:L28">F16*K16</f>
        <v>0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3">
        <v>13</v>
      </c>
      <c r="C17" s="420" t="s">
        <v>762</v>
      </c>
      <c r="D17" s="451" t="s">
        <v>253</v>
      </c>
      <c r="E17" s="400" t="s">
        <v>254</v>
      </c>
      <c r="F17" s="401">
        <v>30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</v>
      </c>
      <c r="L17" s="401">
        <f t="shared" si="2"/>
        <v>0</v>
      </c>
      <c r="M17" s="450">
        <f aca="true" t="shared" si="3" ref="M17:M22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13</v>
      </c>
      <c r="C18" s="420" t="s">
        <v>765</v>
      </c>
      <c r="D18" s="451" t="s">
        <v>351</v>
      </c>
      <c r="E18" s="400" t="s">
        <v>258</v>
      </c>
      <c r="F18" s="401">
        <v>14.908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0</v>
      </c>
      <c r="L18" s="401">
        <f t="shared" si="2"/>
        <v>0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13.5" customHeight="1">
      <c r="A19" s="400" t="s">
        <v>173</v>
      </c>
      <c r="B19" s="408">
        <v>13</v>
      </c>
      <c r="C19" s="420" t="s">
        <v>888</v>
      </c>
      <c r="D19" s="451" t="s">
        <v>520</v>
      </c>
      <c r="E19" s="400" t="s">
        <v>258</v>
      </c>
      <c r="F19" s="401">
        <v>229.588</v>
      </c>
      <c r="G19" s="402"/>
      <c r="H19" s="402">
        <f t="shared" si="0"/>
        <v>0</v>
      </c>
      <c r="I19" s="449">
        <v>0.00201</v>
      </c>
      <c r="J19" s="401">
        <f t="shared" si="1"/>
        <v>0.46147188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13</v>
      </c>
      <c r="C20" s="420" t="s">
        <v>889</v>
      </c>
      <c r="D20" s="451" t="s">
        <v>521</v>
      </c>
      <c r="E20" s="400" t="s">
        <v>258</v>
      </c>
      <c r="F20" s="401">
        <v>229.588</v>
      </c>
      <c r="G20" s="402"/>
      <c r="H20" s="402">
        <f t="shared" si="0"/>
        <v>0</v>
      </c>
      <c r="I20" s="449">
        <v>0</v>
      </c>
      <c r="J20" s="401">
        <f t="shared" si="1"/>
        <v>0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3">
        <v>13</v>
      </c>
      <c r="C21" s="420" t="s">
        <v>890</v>
      </c>
      <c r="D21" s="451" t="s">
        <v>522</v>
      </c>
      <c r="E21" s="400" t="s">
        <v>247</v>
      </c>
      <c r="F21" s="401">
        <v>132.392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3">
        <v>13</v>
      </c>
      <c r="C22" s="420" t="s">
        <v>770</v>
      </c>
      <c r="D22" s="451" t="s">
        <v>262</v>
      </c>
      <c r="E22" s="400" t="s">
        <v>258</v>
      </c>
      <c r="F22" s="401">
        <v>55.101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398"/>
      <c r="B23" s="408"/>
      <c r="C23" s="398"/>
      <c r="D23" s="451" t="s">
        <v>891</v>
      </c>
      <c r="E23" s="398"/>
      <c r="F23" s="401">
        <v>55.10112</v>
      </c>
      <c r="G23" s="398"/>
      <c r="H23" s="398"/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/>
      <c r="N23" s="334">
        <v>4</v>
      </c>
      <c r="O23" s="196" t="s">
        <v>161</v>
      </c>
    </row>
    <row r="24" spans="1:15" s="196" customFormat="1" ht="24.75" customHeight="1">
      <c r="A24" s="400" t="s">
        <v>157</v>
      </c>
      <c r="B24" s="403">
        <v>13</v>
      </c>
      <c r="C24" s="420" t="s">
        <v>771</v>
      </c>
      <c r="D24" s="451" t="s">
        <v>263</v>
      </c>
      <c r="E24" s="400" t="s">
        <v>258</v>
      </c>
      <c r="F24" s="401">
        <v>229.588</v>
      </c>
      <c r="G24" s="402"/>
      <c r="H24" s="402">
        <f aca="true" t="shared" si="4" ref="H24:H29">ROUND(F24*G24,2)</f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aca="true" t="shared" si="5" ref="M24:M33">$M$16</f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163</v>
      </c>
      <c r="B25" s="408">
        <v>13</v>
      </c>
      <c r="C25" s="420" t="s">
        <v>772</v>
      </c>
      <c r="D25" s="451" t="s">
        <v>264</v>
      </c>
      <c r="E25" s="400" t="s">
        <v>258</v>
      </c>
      <c r="F25" s="401">
        <v>229.588</v>
      </c>
      <c r="G25" s="402"/>
      <c r="H25" s="402">
        <f t="shared" si="4"/>
        <v>0</v>
      </c>
      <c r="I25" s="449">
        <v>1</v>
      </c>
      <c r="J25" s="401">
        <f t="shared" si="1"/>
        <v>229.588</v>
      </c>
      <c r="K25" s="449">
        <v>0</v>
      </c>
      <c r="L25" s="401">
        <f t="shared" si="2"/>
        <v>0</v>
      </c>
      <c r="M25" s="450">
        <f t="shared" si="5"/>
        <v>21</v>
      </c>
      <c r="N25" s="336">
        <v>8</v>
      </c>
      <c r="O25" s="335" t="s">
        <v>161</v>
      </c>
    </row>
    <row r="26" spans="1:15" s="196" customFormat="1" ht="24.75" customHeight="1">
      <c r="A26" s="400" t="s">
        <v>169</v>
      </c>
      <c r="B26" s="403">
        <v>13</v>
      </c>
      <c r="C26" s="420" t="s">
        <v>892</v>
      </c>
      <c r="D26" s="451" t="s">
        <v>523</v>
      </c>
      <c r="E26" s="400" t="s">
        <v>258</v>
      </c>
      <c r="F26" s="401">
        <v>1147.94</v>
      </c>
      <c r="G26" s="402"/>
      <c r="H26" s="402">
        <f t="shared" si="4"/>
        <v>0</v>
      </c>
      <c r="I26" s="449">
        <v>0</v>
      </c>
      <c r="J26" s="401">
        <f t="shared" si="1"/>
        <v>0</v>
      </c>
      <c r="K26" s="449">
        <v>0</v>
      </c>
      <c r="L26" s="401">
        <f t="shared" si="2"/>
        <v>0</v>
      </c>
      <c r="M26" s="450">
        <f t="shared" si="5"/>
        <v>21</v>
      </c>
      <c r="N26" s="334">
        <v>4</v>
      </c>
      <c r="O26" s="196" t="s">
        <v>161</v>
      </c>
    </row>
    <row r="27" spans="1:15" s="196" customFormat="1" ht="13.5" customHeight="1">
      <c r="A27" s="400" t="s">
        <v>174</v>
      </c>
      <c r="B27" s="408">
        <v>13</v>
      </c>
      <c r="C27" s="420" t="s">
        <v>893</v>
      </c>
      <c r="D27" s="451" t="s">
        <v>524</v>
      </c>
      <c r="E27" s="400" t="s">
        <v>258</v>
      </c>
      <c r="F27" s="401">
        <v>0.5</v>
      </c>
      <c r="G27" s="402"/>
      <c r="H27" s="402">
        <f t="shared" si="4"/>
        <v>0</v>
      </c>
      <c r="I27" s="449">
        <v>0.00064</v>
      </c>
      <c r="J27" s="401">
        <f t="shared" si="1"/>
        <v>0.00032</v>
      </c>
      <c r="K27" s="449">
        <v>0</v>
      </c>
      <c r="L27" s="401">
        <f t="shared" si="2"/>
        <v>0</v>
      </c>
      <c r="M27" s="450">
        <f t="shared" si="5"/>
        <v>21</v>
      </c>
      <c r="N27" s="334">
        <v>4</v>
      </c>
      <c r="O27" s="196" t="s">
        <v>161</v>
      </c>
    </row>
    <row r="28" spans="1:15" s="196" customFormat="1" ht="13.5" customHeight="1">
      <c r="A28" s="400" t="s">
        <v>186</v>
      </c>
      <c r="B28" s="403">
        <v>13</v>
      </c>
      <c r="C28" s="420" t="s">
        <v>894</v>
      </c>
      <c r="D28" s="451" t="s">
        <v>525</v>
      </c>
      <c r="E28" s="400" t="s">
        <v>247</v>
      </c>
      <c r="F28" s="401">
        <v>2.5</v>
      </c>
      <c r="G28" s="402"/>
      <c r="H28" s="402">
        <f t="shared" si="4"/>
        <v>0</v>
      </c>
      <c r="I28" s="449">
        <v>0.001</v>
      </c>
      <c r="J28" s="401">
        <f t="shared" si="1"/>
        <v>0.0025</v>
      </c>
      <c r="K28" s="449">
        <v>0</v>
      </c>
      <c r="L28" s="401">
        <f t="shared" si="2"/>
        <v>0</v>
      </c>
      <c r="M28" s="450">
        <f t="shared" si="5"/>
        <v>21</v>
      </c>
      <c r="N28" s="336">
        <v>8</v>
      </c>
      <c r="O28" s="335" t="s">
        <v>161</v>
      </c>
    </row>
    <row r="29" spans="1:15" s="318" customFormat="1" ht="13.5" customHeight="1">
      <c r="A29" s="400" t="s">
        <v>159</v>
      </c>
      <c r="B29" s="408">
        <v>13</v>
      </c>
      <c r="C29" s="420" t="s">
        <v>774</v>
      </c>
      <c r="D29" s="451" t="s">
        <v>265</v>
      </c>
      <c r="E29" s="400" t="s">
        <v>258</v>
      </c>
      <c r="F29" s="401">
        <v>141.19</v>
      </c>
      <c r="G29" s="402"/>
      <c r="H29" s="402">
        <f t="shared" si="4"/>
        <v>0</v>
      </c>
      <c r="I29" s="446"/>
      <c r="J29" s="448" t="e">
        <f>SUM(#REF!)</f>
        <v>#REF!</v>
      </c>
      <c r="K29" s="446"/>
      <c r="L29" s="448" t="e">
        <f>SUM(#REF!)</f>
        <v>#REF!</v>
      </c>
      <c r="M29" s="450">
        <f t="shared" si="5"/>
        <v>21</v>
      </c>
      <c r="O29" s="320" t="s">
        <v>154</v>
      </c>
    </row>
    <row r="30" spans="1:15" s="196" customFormat="1" ht="13.5" customHeight="1">
      <c r="A30" s="400" t="s">
        <v>165</v>
      </c>
      <c r="B30" s="408">
        <v>13</v>
      </c>
      <c r="C30" s="420" t="s">
        <v>775</v>
      </c>
      <c r="D30" s="451" t="s">
        <v>267</v>
      </c>
      <c r="E30" s="400" t="s">
        <v>268</v>
      </c>
      <c r="F30" s="401">
        <v>197.666</v>
      </c>
      <c r="G30" s="402"/>
      <c r="H30" s="402">
        <f>ROUND(F30*G30,2)</f>
        <v>0</v>
      </c>
      <c r="I30" s="449">
        <v>0.18417</v>
      </c>
      <c r="J30" s="401">
        <f aca="true" t="shared" si="6" ref="J30:J35">F30*I30</f>
        <v>36.40414722</v>
      </c>
      <c r="K30" s="449">
        <v>0</v>
      </c>
      <c r="L30" s="401">
        <f aca="true" t="shared" si="7" ref="L30:L35">F30*K30</f>
        <v>0</v>
      </c>
      <c r="M30" s="450">
        <f t="shared" si="5"/>
        <v>21</v>
      </c>
      <c r="N30" s="334">
        <v>4</v>
      </c>
      <c r="O30" s="196" t="s">
        <v>161</v>
      </c>
    </row>
    <row r="31" spans="1:15" s="196" customFormat="1" ht="24.75" customHeight="1">
      <c r="A31" s="400" t="s">
        <v>171</v>
      </c>
      <c r="B31" s="408">
        <v>13</v>
      </c>
      <c r="C31" s="420" t="s">
        <v>776</v>
      </c>
      <c r="D31" s="451" t="s">
        <v>354</v>
      </c>
      <c r="E31" s="400" t="s">
        <v>247</v>
      </c>
      <c r="F31" s="401">
        <v>74.542</v>
      </c>
      <c r="G31" s="402"/>
      <c r="H31" s="402">
        <f>ROUND(F31*G31,2)</f>
        <v>0</v>
      </c>
      <c r="I31" s="449">
        <v>0.174</v>
      </c>
      <c r="J31" s="401">
        <f t="shared" si="6"/>
        <v>12.970308</v>
      </c>
      <c r="K31" s="449">
        <v>0</v>
      </c>
      <c r="L31" s="401">
        <f t="shared" si="7"/>
        <v>0</v>
      </c>
      <c r="M31" s="450">
        <f t="shared" si="5"/>
        <v>21</v>
      </c>
      <c r="N31" s="336">
        <v>8</v>
      </c>
      <c r="O31" s="335" t="s">
        <v>161</v>
      </c>
    </row>
    <row r="32" spans="1:15" s="196" customFormat="1" ht="13.5" customHeight="1">
      <c r="A32" s="400" t="s">
        <v>175</v>
      </c>
      <c r="B32" s="408">
        <v>13</v>
      </c>
      <c r="C32" s="420" t="s">
        <v>778</v>
      </c>
      <c r="D32" s="451" t="s">
        <v>355</v>
      </c>
      <c r="E32" s="400" t="s">
        <v>247</v>
      </c>
      <c r="F32" s="401">
        <v>74.542</v>
      </c>
      <c r="G32" s="402"/>
      <c r="H32" s="402">
        <f>ROUND(F32*G32,2)</f>
        <v>0</v>
      </c>
      <c r="I32" s="449">
        <v>0</v>
      </c>
      <c r="J32" s="401">
        <f t="shared" si="6"/>
        <v>0</v>
      </c>
      <c r="K32" s="449">
        <v>0</v>
      </c>
      <c r="L32" s="401">
        <f t="shared" si="7"/>
        <v>0</v>
      </c>
      <c r="M32" s="450">
        <f t="shared" si="5"/>
        <v>21</v>
      </c>
      <c r="N32" s="336">
        <v>8</v>
      </c>
      <c r="O32" s="335" t="s">
        <v>161</v>
      </c>
    </row>
    <row r="33" spans="1:15" s="196" customFormat="1" ht="13.5" customHeight="1">
      <c r="A33" s="400" t="s">
        <v>179</v>
      </c>
      <c r="B33" s="403">
        <v>13</v>
      </c>
      <c r="C33" s="420" t="s">
        <v>779</v>
      </c>
      <c r="D33" s="451" t="s">
        <v>356</v>
      </c>
      <c r="E33" s="400" t="s">
        <v>357</v>
      </c>
      <c r="F33" s="401">
        <v>1.864</v>
      </c>
      <c r="G33" s="402"/>
      <c r="H33" s="402">
        <f>ROUND(F33*G33,2)</f>
        <v>0</v>
      </c>
      <c r="I33" s="449">
        <v>0.0137</v>
      </c>
      <c r="J33" s="401">
        <f t="shared" si="6"/>
        <v>0.025536800000000002</v>
      </c>
      <c r="K33" s="449">
        <v>0</v>
      </c>
      <c r="L33" s="401">
        <f t="shared" si="7"/>
        <v>0</v>
      </c>
      <c r="M33" s="450">
        <f t="shared" si="5"/>
        <v>21</v>
      </c>
      <c r="N33" s="334">
        <v>4</v>
      </c>
      <c r="O33" s="196" t="s">
        <v>161</v>
      </c>
    </row>
    <row r="34" spans="1:15" s="196" customFormat="1" ht="13.5" customHeight="1">
      <c r="A34" s="446"/>
      <c r="B34" s="408"/>
      <c r="C34" s="446" t="s">
        <v>161</v>
      </c>
      <c r="D34" s="446" t="s">
        <v>271</v>
      </c>
      <c r="E34" s="446"/>
      <c r="F34" s="446"/>
      <c r="G34" s="446"/>
      <c r="H34" s="447">
        <f>SUM(H35:H37)</f>
        <v>0</v>
      </c>
      <c r="I34" s="449">
        <v>0.002</v>
      </c>
      <c r="J34" s="401">
        <f t="shared" si="6"/>
        <v>0</v>
      </c>
      <c r="K34" s="449">
        <v>0</v>
      </c>
      <c r="L34" s="401">
        <f t="shared" si="7"/>
        <v>0</v>
      </c>
      <c r="M34" s="450"/>
      <c r="N34" s="336">
        <v>8</v>
      </c>
      <c r="O34" s="335" t="s">
        <v>161</v>
      </c>
    </row>
    <row r="35" spans="1:15" s="196" customFormat="1" ht="13.5" customHeight="1">
      <c r="A35" s="400" t="s">
        <v>182</v>
      </c>
      <c r="B35" s="403">
        <v>13</v>
      </c>
      <c r="C35" s="420" t="s">
        <v>895</v>
      </c>
      <c r="D35" s="451" t="s">
        <v>526</v>
      </c>
      <c r="E35" s="400" t="s">
        <v>258</v>
      </c>
      <c r="F35" s="401">
        <v>1.627</v>
      </c>
      <c r="G35" s="402"/>
      <c r="H35" s="402">
        <f>ROUND(F35*G35,2)</f>
        <v>0</v>
      </c>
      <c r="I35" s="449">
        <v>0.0078</v>
      </c>
      <c r="J35" s="401">
        <f t="shared" si="6"/>
        <v>0.0126906</v>
      </c>
      <c r="K35" s="449">
        <v>0</v>
      </c>
      <c r="L35" s="401">
        <f t="shared" si="7"/>
        <v>0</v>
      </c>
      <c r="M35" s="450">
        <f>$M$16</f>
        <v>21</v>
      </c>
      <c r="N35" s="334">
        <v>4</v>
      </c>
      <c r="O35" s="196" t="s">
        <v>161</v>
      </c>
    </row>
    <row r="36" spans="1:15" s="196" customFormat="1" ht="13.5" customHeight="1">
      <c r="A36" s="400" t="s">
        <v>188</v>
      </c>
      <c r="B36" s="403">
        <v>13</v>
      </c>
      <c r="C36" s="420" t="s">
        <v>816</v>
      </c>
      <c r="D36" s="451" t="s">
        <v>433</v>
      </c>
      <c r="E36" s="400" t="s">
        <v>247</v>
      </c>
      <c r="F36" s="401">
        <v>1.229</v>
      </c>
      <c r="G36" s="402"/>
      <c r="H36" s="402">
        <f>ROUND(F36*G36,2)</f>
        <v>0</v>
      </c>
      <c r="I36" s="449">
        <v>1E-05</v>
      </c>
      <c r="J36" s="401">
        <f>F36*I36</f>
        <v>1.2290000000000003E-05</v>
      </c>
      <c r="K36" s="449">
        <v>0</v>
      </c>
      <c r="L36" s="401">
        <f>F36*K36</f>
        <v>0</v>
      </c>
      <c r="M36" s="450">
        <f>$M$16</f>
        <v>21</v>
      </c>
      <c r="N36" s="334">
        <v>4</v>
      </c>
      <c r="O36" s="196" t="s">
        <v>161</v>
      </c>
    </row>
    <row r="37" spans="1:15" s="196" customFormat="1" ht="13.5" customHeight="1">
      <c r="A37" s="400" t="s">
        <v>190</v>
      </c>
      <c r="B37" s="403">
        <v>13</v>
      </c>
      <c r="C37" s="420" t="s">
        <v>817</v>
      </c>
      <c r="D37" s="451" t="s">
        <v>434</v>
      </c>
      <c r="E37" s="400" t="s">
        <v>247</v>
      </c>
      <c r="F37" s="401">
        <v>1.229</v>
      </c>
      <c r="G37" s="402"/>
      <c r="H37" s="402">
        <f>ROUND(F37*G37,2)</f>
        <v>0</v>
      </c>
      <c r="I37" s="449">
        <v>0</v>
      </c>
      <c r="J37" s="401">
        <f>F37*I37</f>
        <v>0</v>
      </c>
      <c r="K37" s="449">
        <v>0</v>
      </c>
      <c r="L37" s="401">
        <f>F37*K37</f>
        <v>0</v>
      </c>
      <c r="M37" s="450">
        <f>$M$16</f>
        <v>21</v>
      </c>
      <c r="N37" s="334">
        <v>4</v>
      </c>
      <c r="O37" s="196" t="s">
        <v>161</v>
      </c>
    </row>
    <row r="38" spans="1:15" s="318" customFormat="1" ht="13.5" customHeight="1">
      <c r="A38" s="446"/>
      <c r="B38" s="408"/>
      <c r="C38" s="446" t="s">
        <v>167</v>
      </c>
      <c r="D38" s="446" t="s">
        <v>413</v>
      </c>
      <c r="E38" s="446"/>
      <c r="F38" s="446"/>
      <c r="G38" s="446"/>
      <c r="H38" s="447">
        <f>SUM(H39:H44)</f>
        <v>0</v>
      </c>
      <c r="I38" s="446"/>
      <c r="J38" s="448" t="e">
        <f>J39+#REF!+#REF!+#REF!+#REF!</f>
        <v>#REF!</v>
      </c>
      <c r="K38" s="446"/>
      <c r="L38" s="448" t="e">
        <f>L39+#REF!+#REF!+#REF!+#REF!</f>
        <v>#REF!</v>
      </c>
      <c r="M38" s="450"/>
      <c r="O38" s="315" t="s">
        <v>244</v>
      </c>
    </row>
    <row r="39" spans="1:15" s="318" customFormat="1" ht="24.75" customHeight="1">
      <c r="A39" s="400" t="s">
        <v>192</v>
      </c>
      <c r="B39" s="403">
        <v>13</v>
      </c>
      <c r="C39" s="420" t="s">
        <v>896</v>
      </c>
      <c r="D39" s="451" t="s">
        <v>527</v>
      </c>
      <c r="E39" s="400" t="s">
        <v>258</v>
      </c>
      <c r="F39" s="401">
        <v>9.846</v>
      </c>
      <c r="G39" s="402"/>
      <c r="H39" s="402">
        <f>ROUND(F39*G39,2)</f>
        <v>0</v>
      </c>
      <c r="I39" s="446"/>
      <c r="J39" s="448">
        <f>SUM(J40:J40)</f>
        <v>0</v>
      </c>
      <c r="K39" s="446"/>
      <c r="L39" s="448">
        <f>SUM(L40:L40)</f>
        <v>0</v>
      </c>
      <c r="M39" s="450">
        <f>$M$16</f>
        <v>21</v>
      </c>
      <c r="O39" s="320" t="s">
        <v>154</v>
      </c>
    </row>
    <row r="40" spans="1:15" s="196" customFormat="1" ht="24.75" customHeight="1">
      <c r="A40" s="400" t="s">
        <v>194</v>
      </c>
      <c r="B40" s="408">
        <v>13</v>
      </c>
      <c r="C40" s="420" t="s">
        <v>897</v>
      </c>
      <c r="D40" s="451" t="s">
        <v>528</v>
      </c>
      <c r="E40" s="400" t="s">
        <v>258</v>
      </c>
      <c r="F40" s="401">
        <v>32.563</v>
      </c>
      <c r="G40" s="402"/>
      <c r="H40" s="402">
        <f>ROUND(F40*G40,2)</f>
        <v>0</v>
      </c>
      <c r="I40" s="449">
        <v>0</v>
      </c>
      <c r="J40" s="401">
        <f>F40*I40</f>
        <v>0</v>
      </c>
      <c r="K40" s="449">
        <v>0</v>
      </c>
      <c r="L40" s="401">
        <f>F40*K40</f>
        <v>0</v>
      </c>
      <c r="M40" s="450">
        <f>$M$16</f>
        <v>21</v>
      </c>
      <c r="N40" s="334">
        <v>16</v>
      </c>
      <c r="O40" s="196" t="s">
        <v>161</v>
      </c>
    </row>
    <row r="41" spans="1:13" ht="24.75" customHeight="1">
      <c r="A41" s="400" t="s">
        <v>198</v>
      </c>
      <c r="B41" s="403">
        <v>13</v>
      </c>
      <c r="C41" s="420" t="s">
        <v>898</v>
      </c>
      <c r="D41" s="451" t="s">
        <v>529</v>
      </c>
      <c r="E41" s="400" t="s">
        <v>247</v>
      </c>
      <c r="F41" s="401">
        <v>151.322</v>
      </c>
      <c r="G41" s="402"/>
      <c r="H41" s="402">
        <f>ROUND(F41*G41,2)</f>
        <v>0</v>
      </c>
      <c r="I41" s="453"/>
      <c r="J41" s="453"/>
      <c r="K41" s="453"/>
      <c r="L41" s="453"/>
      <c r="M41" s="450">
        <f>$M$16</f>
        <v>21</v>
      </c>
    </row>
    <row r="42" spans="1:13" ht="13.5" customHeight="1">
      <c r="A42" s="398"/>
      <c r="B42" s="403"/>
      <c r="C42" s="398"/>
      <c r="D42" s="451" t="s">
        <v>718</v>
      </c>
      <c r="E42" s="398"/>
      <c r="F42" s="401">
        <v>151.32151</v>
      </c>
      <c r="G42" s="398"/>
      <c r="H42" s="398"/>
      <c r="I42" s="453"/>
      <c r="J42" s="453"/>
      <c r="K42" s="453"/>
      <c r="L42" s="453"/>
      <c r="M42" s="450"/>
    </row>
    <row r="43" spans="1:13" ht="24.75" customHeight="1">
      <c r="A43" s="400" t="s">
        <v>202</v>
      </c>
      <c r="B43" s="408">
        <v>13</v>
      </c>
      <c r="C43" s="420" t="s">
        <v>899</v>
      </c>
      <c r="D43" s="451" t="s">
        <v>530</v>
      </c>
      <c r="E43" s="400" t="s">
        <v>247</v>
      </c>
      <c r="F43" s="401">
        <v>151.322</v>
      </c>
      <c r="G43" s="402"/>
      <c r="H43" s="402">
        <f>ROUND(F43*G43,2)</f>
        <v>0</v>
      </c>
      <c r="I43" s="453"/>
      <c r="J43" s="453"/>
      <c r="K43" s="453"/>
      <c r="L43" s="453"/>
      <c r="M43" s="450">
        <f>$M$16</f>
        <v>21</v>
      </c>
    </row>
    <row r="44" spans="1:13" ht="24.75" customHeight="1">
      <c r="A44" s="400" t="s">
        <v>204</v>
      </c>
      <c r="B44" s="403">
        <v>13</v>
      </c>
      <c r="C44" s="420" t="s">
        <v>822</v>
      </c>
      <c r="D44" s="451" t="s">
        <v>439</v>
      </c>
      <c r="E44" s="400" t="s">
        <v>268</v>
      </c>
      <c r="F44" s="401">
        <v>4.529</v>
      </c>
      <c r="G44" s="402"/>
      <c r="H44" s="402">
        <f>ROUND(F44*G44,2)</f>
        <v>0</v>
      </c>
      <c r="I44" s="453"/>
      <c r="J44" s="453"/>
      <c r="K44" s="453"/>
      <c r="L44" s="453"/>
      <c r="M44" s="450">
        <f>$M$16</f>
        <v>21</v>
      </c>
    </row>
    <row r="45" spans="1:13" ht="13.5" customHeight="1">
      <c r="A45" s="446"/>
      <c r="B45" s="403"/>
      <c r="C45" s="446" t="s">
        <v>181</v>
      </c>
      <c r="D45" s="446" t="s">
        <v>486</v>
      </c>
      <c r="E45" s="446"/>
      <c r="F45" s="446"/>
      <c r="G45" s="446"/>
      <c r="H45" s="447">
        <f>SUM(H46:H49)</f>
        <v>0</v>
      </c>
      <c r="I45" s="453"/>
      <c r="J45" s="453"/>
      <c r="K45" s="453"/>
      <c r="L45" s="453"/>
      <c r="M45" s="450"/>
    </row>
    <row r="46" spans="1:13" ht="13.5" customHeight="1">
      <c r="A46" s="400" t="s">
        <v>205</v>
      </c>
      <c r="B46" s="408">
        <v>13</v>
      </c>
      <c r="C46" s="420" t="s">
        <v>900</v>
      </c>
      <c r="D46" s="451" t="s">
        <v>531</v>
      </c>
      <c r="E46" s="400" t="s">
        <v>258</v>
      </c>
      <c r="F46" s="401">
        <v>4.055</v>
      </c>
      <c r="G46" s="402"/>
      <c r="H46" s="402">
        <f>ROUND(F46*G46,2)</f>
        <v>0</v>
      </c>
      <c r="I46" s="453"/>
      <c r="J46" s="453"/>
      <c r="K46" s="453"/>
      <c r="L46" s="453"/>
      <c r="M46" s="450">
        <f>$M$16</f>
        <v>21</v>
      </c>
    </row>
    <row r="47" spans="1:13" ht="13.5" customHeight="1">
      <c r="A47" s="400" t="s">
        <v>209</v>
      </c>
      <c r="B47" s="408">
        <v>13</v>
      </c>
      <c r="C47" s="420" t="s">
        <v>901</v>
      </c>
      <c r="D47" s="451" t="s">
        <v>532</v>
      </c>
      <c r="E47" s="400" t="s">
        <v>247</v>
      </c>
      <c r="F47" s="401">
        <v>3.87</v>
      </c>
      <c r="G47" s="402"/>
      <c r="H47" s="402">
        <f>ROUND(F47*G47,2)</f>
        <v>0</v>
      </c>
      <c r="I47" s="453"/>
      <c r="J47" s="453"/>
      <c r="K47" s="453"/>
      <c r="L47" s="453"/>
      <c r="M47" s="450">
        <f>$M$16</f>
        <v>21</v>
      </c>
    </row>
    <row r="48" spans="1:13" ht="13.5" customHeight="1">
      <c r="A48" s="400" t="s">
        <v>211</v>
      </c>
      <c r="B48" s="408">
        <v>13</v>
      </c>
      <c r="C48" s="420" t="s">
        <v>902</v>
      </c>
      <c r="D48" s="451" t="s">
        <v>533</v>
      </c>
      <c r="E48" s="400" t="s">
        <v>247</v>
      </c>
      <c r="F48" s="401">
        <v>3.87</v>
      </c>
      <c r="G48" s="402"/>
      <c r="H48" s="402">
        <f>ROUND(F48*G48,2)</f>
        <v>0</v>
      </c>
      <c r="I48" s="453"/>
      <c r="J48" s="453"/>
      <c r="K48" s="453"/>
      <c r="L48" s="453"/>
      <c r="M48" s="450">
        <f>$M$16</f>
        <v>21</v>
      </c>
    </row>
    <row r="49" spans="1:13" ht="24.75" customHeight="1">
      <c r="A49" s="400" t="s">
        <v>213</v>
      </c>
      <c r="B49" s="403">
        <v>13</v>
      </c>
      <c r="C49" s="420" t="s">
        <v>903</v>
      </c>
      <c r="D49" s="451" t="s">
        <v>534</v>
      </c>
      <c r="E49" s="400" t="s">
        <v>258</v>
      </c>
      <c r="F49" s="401">
        <v>11.181</v>
      </c>
      <c r="G49" s="402"/>
      <c r="H49" s="402">
        <f>ROUND(F49*G49,2)</f>
        <v>0</v>
      </c>
      <c r="I49" s="453"/>
      <c r="J49" s="453"/>
      <c r="K49" s="453"/>
      <c r="L49" s="453"/>
      <c r="M49" s="450">
        <f>$M$16</f>
        <v>21</v>
      </c>
    </row>
    <row r="50" spans="1:13" ht="13.5" customHeight="1">
      <c r="A50" s="446"/>
      <c r="B50" s="403"/>
      <c r="C50" s="446" t="s">
        <v>157</v>
      </c>
      <c r="D50" s="446" t="s">
        <v>285</v>
      </c>
      <c r="E50" s="446"/>
      <c r="F50" s="446"/>
      <c r="G50" s="446"/>
      <c r="H50" s="447">
        <f>SUM(H51:H64)</f>
        <v>0</v>
      </c>
      <c r="I50" s="453"/>
      <c r="J50" s="453"/>
      <c r="K50" s="453"/>
      <c r="L50" s="453"/>
      <c r="M50" s="450"/>
    </row>
    <row r="51" spans="1:13" ht="13.5" customHeight="1">
      <c r="A51" s="400" t="s">
        <v>287</v>
      </c>
      <c r="B51" s="408">
        <v>13</v>
      </c>
      <c r="C51" s="420" t="s">
        <v>904</v>
      </c>
      <c r="D51" s="451" t="s">
        <v>535</v>
      </c>
      <c r="E51" s="400" t="s">
        <v>317</v>
      </c>
      <c r="F51" s="401">
        <v>1</v>
      </c>
      <c r="G51" s="402"/>
      <c r="H51" s="402">
        <f aca="true" t="shared" si="8" ref="H51:H64">ROUND(F51*G51,2)</f>
        <v>0</v>
      </c>
      <c r="I51" s="453"/>
      <c r="J51" s="453"/>
      <c r="K51" s="453"/>
      <c r="L51" s="453"/>
      <c r="M51" s="450">
        <f aca="true" t="shared" si="9" ref="M51:M64">$M$16</f>
        <v>21</v>
      </c>
    </row>
    <row r="52" spans="1:13" ht="24.75" customHeight="1">
      <c r="A52" s="400" t="s">
        <v>289</v>
      </c>
      <c r="B52" s="403">
        <v>13</v>
      </c>
      <c r="C52" s="420" t="s">
        <v>741</v>
      </c>
      <c r="D52" s="451" t="s">
        <v>536</v>
      </c>
      <c r="E52" s="400" t="s">
        <v>274</v>
      </c>
      <c r="F52" s="401">
        <v>1</v>
      </c>
      <c r="G52" s="402"/>
      <c r="H52" s="402">
        <f t="shared" si="8"/>
        <v>0</v>
      </c>
      <c r="I52" s="453"/>
      <c r="J52" s="453"/>
      <c r="K52" s="453"/>
      <c r="L52" s="453"/>
      <c r="M52" s="450">
        <f t="shared" si="9"/>
        <v>21</v>
      </c>
    </row>
    <row r="53" spans="1:13" ht="13.5" customHeight="1">
      <c r="A53" s="400" t="s">
        <v>292</v>
      </c>
      <c r="B53" s="408">
        <v>13</v>
      </c>
      <c r="C53" s="420" t="s">
        <v>905</v>
      </c>
      <c r="D53" s="451" t="s">
        <v>537</v>
      </c>
      <c r="E53" s="400" t="s">
        <v>256</v>
      </c>
      <c r="F53" s="401">
        <v>6</v>
      </c>
      <c r="G53" s="402"/>
      <c r="H53" s="402">
        <f t="shared" si="8"/>
        <v>0</v>
      </c>
      <c r="I53" s="453"/>
      <c r="J53" s="453"/>
      <c r="K53" s="453"/>
      <c r="L53" s="453"/>
      <c r="M53" s="450">
        <f t="shared" si="9"/>
        <v>21</v>
      </c>
    </row>
    <row r="54" spans="1:13" ht="24.75" customHeight="1">
      <c r="A54" s="400" t="s">
        <v>294</v>
      </c>
      <c r="B54" s="403">
        <v>13</v>
      </c>
      <c r="C54" s="420" t="s">
        <v>739</v>
      </c>
      <c r="D54" s="451" t="s">
        <v>333</v>
      </c>
      <c r="E54" s="400" t="s">
        <v>317</v>
      </c>
      <c r="F54" s="401">
        <v>3</v>
      </c>
      <c r="G54" s="402"/>
      <c r="H54" s="402">
        <f t="shared" si="8"/>
        <v>0</v>
      </c>
      <c r="I54" s="453"/>
      <c r="J54" s="453"/>
      <c r="K54" s="453"/>
      <c r="L54" s="453"/>
      <c r="M54" s="450">
        <f t="shared" si="9"/>
        <v>21</v>
      </c>
    </row>
    <row r="55" spans="1:13" ht="13.5" customHeight="1">
      <c r="A55" s="400" t="s">
        <v>296</v>
      </c>
      <c r="B55" s="408">
        <v>13</v>
      </c>
      <c r="C55" s="420" t="s">
        <v>740</v>
      </c>
      <c r="D55" s="451" t="s">
        <v>335</v>
      </c>
      <c r="E55" s="400" t="s">
        <v>274</v>
      </c>
      <c r="F55" s="401">
        <v>3</v>
      </c>
      <c r="G55" s="402"/>
      <c r="H55" s="402">
        <f t="shared" si="8"/>
        <v>0</v>
      </c>
      <c r="I55" s="453"/>
      <c r="J55" s="453"/>
      <c r="K55" s="453"/>
      <c r="L55" s="453"/>
      <c r="M55" s="450">
        <f t="shared" si="9"/>
        <v>21</v>
      </c>
    </row>
    <row r="56" spans="1:13" ht="13.5" customHeight="1">
      <c r="A56" s="400" t="s">
        <v>298</v>
      </c>
      <c r="B56" s="403">
        <v>13</v>
      </c>
      <c r="C56" s="420" t="s">
        <v>906</v>
      </c>
      <c r="D56" s="451" t="s">
        <v>538</v>
      </c>
      <c r="E56" s="400" t="s">
        <v>317</v>
      </c>
      <c r="F56" s="401">
        <v>1</v>
      </c>
      <c r="G56" s="402"/>
      <c r="H56" s="402">
        <f t="shared" si="8"/>
        <v>0</v>
      </c>
      <c r="I56" s="453"/>
      <c r="J56" s="453"/>
      <c r="K56" s="453"/>
      <c r="L56" s="453"/>
      <c r="M56" s="450">
        <f t="shared" si="9"/>
        <v>21</v>
      </c>
    </row>
    <row r="57" spans="1:13" ht="13.5" customHeight="1">
      <c r="A57" s="400" t="s">
        <v>302</v>
      </c>
      <c r="B57" s="408">
        <v>13</v>
      </c>
      <c r="C57" s="420" t="s">
        <v>907</v>
      </c>
      <c r="D57" s="451" t="s">
        <v>539</v>
      </c>
      <c r="E57" s="400" t="s">
        <v>274</v>
      </c>
      <c r="F57" s="401">
        <v>1</v>
      </c>
      <c r="G57" s="402"/>
      <c r="H57" s="402">
        <f t="shared" si="8"/>
        <v>0</v>
      </c>
      <c r="I57" s="453"/>
      <c r="J57" s="453"/>
      <c r="K57" s="453"/>
      <c r="L57" s="453"/>
      <c r="M57" s="450">
        <f t="shared" si="9"/>
        <v>21</v>
      </c>
    </row>
    <row r="58" spans="1:13" ht="24.75" customHeight="1">
      <c r="A58" s="400" t="s">
        <v>307</v>
      </c>
      <c r="B58" s="403">
        <v>13</v>
      </c>
      <c r="C58" s="420" t="s">
        <v>908</v>
      </c>
      <c r="D58" s="451" t="s">
        <v>540</v>
      </c>
      <c r="E58" s="400" t="s">
        <v>317</v>
      </c>
      <c r="F58" s="401">
        <v>28</v>
      </c>
      <c r="G58" s="402"/>
      <c r="H58" s="402">
        <f t="shared" si="8"/>
        <v>0</v>
      </c>
      <c r="I58" s="453"/>
      <c r="J58" s="453"/>
      <c r="K58" s="453"/>
      <c r="L58" s="453"/>
      <c r="M58" s="450">
        <f t="shared" si="9"/>
        <v>21</v>
      </c>
    </row>
    <row r="59" spans="1:13" ht="13.5" customHeight="1">
      <c r="A59" s="400" t="s">
        <v>310</v>
      </c>
      <c r="B59" s="408">
        <v>13</v>
      </c>
      <c r="C59" s="420" t="s">
        <v>909</v>
      </c>
      <c r="D59" s="451" t="s">
        <v>541</v>
      </c>
      <c r="E59" s="400" t="s">
        <v>317</v>
      </c>
      <c r="F59" s="401">
        <v>28</v>
      </c>
      <c r="G59" s="402"/>
      <c r="H59" s="402">
        <f t="shared" si="8"/>
        <v>0</v>
      </c>
      <c r="I59" s="453"/>
      <c r="J59" s="453"/>
      <c r="K59" s="453"/>
      <c r="L59" s="453"/>
      <c r="M59" s="450">
        <f t="shared" si="9"/>
        <v>21</v>
      </c>
    </row>
    <row r="60" spans="1:13" ht="13.5" customHeight="1">
      <c r="A60" s="400" t="s">
        <v>322</v>
      </c>
      <c r="B60" s="403">
        <v>13</v>
      </c>
      <c r="C60" s="420" t="s">
        <v>910</v>
      </c>
      <c r="D60" s="451" t="s">
        <v>542</v>
      </c>
      <c r="E60" s="400" t="s">
        <v>317</v>
      </c>
      <c r="F60" s="401">
        <v>3</v>
      </c>
      <c r="G60" s="402"/>
      <c r="H60" s="402">
        <f t="shared" si="8"/>
        <v>0</v>
      </c>
      <c r="I60" s="453"/>
      <c r="J60" s="453"/>
      <c r="K60" s="453"/>
      <c r="L60" s="453"/>
      <c r="M60" s="450">
        <f t="shared" si="9"/>
        <v>21</v>
      </c>
    </row>
    <row r="61" spans="1:13" ht="13.5" customHeight="1">
      <c r="A61" s="400" t="s">
        <v>324</v>
      </c>
      <c r="B61" s="408">
        <v>13</v>
      </c>
      <c r="C61" s="420" t="s">
        <v>911</v>
      </c>
      <c r="D61" s="451" t="s">
        <v>543</v>
      </c>
      <c r="E61" s="400" t="s">
        <v>317</v>
      </c>
      <c r="F61" s="401">
        <v>3</v>
      </c>
      <c r="G61" s="402"/>
      <c r="H61" s="402">
        <f t="shared" si="8"/>
        <v>0</v>
      </c>
      <c r="I61" s="453"/>
      <c r="J61" s="453"/>
      <c r="K61" s="453"/>
      <c r="L61" s="453"/>
      <c r="M61" s="450">
        <f t="shared" si="9"/>
        <v>21</v>
      </c>
    </row>
    <row r="62" spans="1:13" ht="13.5" customHeight="1">
      <c r="A62" s="400" t="s">
        <v>326</v>
      </c>
      <c r="B62" s="403">
        <v>13</v>
      </c>
      <c r="C62" s="420" t="s">
        <v>912</v>
      </c>
      <c r="D62" s="451" t="s">
        <v>544</v>
      </c>
      <c r="E62" s="400" t="s">
        <v>274</v>
      </c>
      <c r="F62" s="401">
        <v>1</v>
      </c>
      <c r="G62" s="402"/>
      <c r="H62" s="402">
        <f t="shared" si="8"/>
        <v>0</v>
      </c>
      <c r="I62" s="453"/>
      <c r="J62" s="453"/>
      <c r="K62" s="453"/>
      <c r="L62" s="453"/>
      <c r="M62" s="450">
        <f t="shared" si="9"/>
        <v>21</v>
      </c>
    </row>
    <row r="63" spans="1:13" ht="13.5" customHeight="1">
      <c r="A63" s="400" t="s">
        <v>328</v>
      </c>
      <c r="B63" s="408">
        <v>13</v>
      </c>
      <c r="C63" s="420" t="s">
        <v>885</v>
      </c>
      <c r="D63" s="451" t="s">
        <v>545</v>
      </c>
      <c r="E63" s="400" t="s">
        <v>274</v>
      </c>
      <c r="F63" s="401">
        <v>1</v>
      </c>
      <c r="G63" s="402"/>
      <c r="H63" s="402">
        <f t="shared" si="8"/>
        <v>0</v>
      </c>
      <c r="I63" s="453"/>
      <c r="J63" s="453"/>
      <c r="K63" s="453"/>
      <c r="L63" s="453"/>
      <c r="M63" s="450">
        <f t="shared" si="9"/>
        <v>21</v>
      </c>
    </row>
    <row r="64" spans="1:13" ht="13.5" customHeight="1">
      <c r="A64" s="400" t="s">
        <v>330</v>
      </c>
      <c r="B64" s="403">
        <v>13</v>
      </c>
      <c r="C64" s="420" t="s">
        <v>745</v>
      </c>
      <c r="D64" s="451" t="s">
        <v>546</v>
      </c>
      <c r="E64" s="400" t="s">
        <v>342</v>
      </c>
      <c r="F64" s="401">
        <v>1</v>
      </c>
      <c r="G64" s="402"/>
      <c r="H64" s="402">
        <f t="shared" si="8"/>
        <v>0</v>
      </c>
      <c r="I64" s="453"/>
      <c r="J64" s="453"/>
      <c r="K64" s="453"/>
      <c r="L64" s="453"/>
      <c r="M64" s="450">
        <f t="shared" si="9"/>
        <v>21</v>
      </c>
    </row>
    <row r="65" spans="1:13" ht="13.5" customHeight="1">
      <c r="A65" s="446"/>
      <c r="B65" s="408"/>
      <c r="C65" s="446" t="s">
        <v>163</v>
      </c>
      <c r="D65" s="446" t="s">
        <v>291</v>
      </c>
      <c r="E65" s="446"/>
      <c r="F65" s="446"/>
      <c r="G65" s="446"/>
      <c r="H65" s="447">
        <f>SUM(H66:H68)</f>
        <v>0</v>
      </c>
      <c r="I65" s="453"/>
      <c r="J65" s="453"/>
      <c r="K65" s="453"/>
      <c r="L65" s="453"/>
      <c r="M65" s="450"/>
    </row>
    <row r="66" spans="1:13" ht="13.5" customHeight="1">
      <c r="A66" s="400" t="s">
        <v>332</v>
      </c>
      <c r="B66" s="403">
        <v>13</v>
      </c>
      <c r="C66" s="420" t="s">
        <v>913</v>
      </c>
      <c r="D66" s="451" t="s">
        <v>547</v>
      </c>
      <c r="E66" s="400" t="s">
        <v>256</v>
      </c>
      <c r="F66" s="401">
        <v>32.53</v>
      </c>
      <c r="G66" s="402"/>
      <c r="H66" s="402">
        <f>ROUND(F66*G66,2)</f>
        <v>0</v>
      </c>
      <c r="I66" s="453"/>
      <c r="J66" s="453"/>
      <c r="K66" s="453"/>
      <c r="L66" s="453"/>
      <c r="M66" s="450">
        <f>$M$16</f>
        <v>21</v>
      </c>
    </row>
    <row r="67" spans="1:13" ht="13.5" customHeight="1">
      <c r="A67" s="400" t="s">
        <v>334</v>
      </c>
      <c r="B67" s="403">
        <v>13</v>
      </c>
      <c r="C67" s="420" t="s">
        <v>914</v>
      </c>
      <c r="D67" s="451" t="s">
        <v>548</v>
      </c>
      <c r="E67" s="400" t="s">
        <v>247</v>
      </c>
      <c r="F67" s="401">
        <v>23.56</v>
      </c>
      <c r="G67" s="402"/>
      <c r="H67" s="402">
        <f>ROUND(F67*G67,2)</f>
        <v>0</v>
      </c>
      <c r="I67" s="453"/>
      <c r="J67" s="453"/>
      <c r="K67" s="453"/>
      <c r="L67" s="453"/>
      <c r="M67" s="450">
        <f>$M$16</f>
        <v>21</v>
      </c>
    </row>
    <row r="68" spans="1:13" ht="13.5" customHeight="1">
      <c r="A68" s="400" t="s">
        <v>336</v>
      </c>
      <c r="B68" s="408">
        <v>13</v>
      </c>
      <c r="C68" s="420" t="s">
        <v>915</v>
      </c>
      <c r="D68" s="451" t="s">
        <v>549</v>
      </c>
      <c r="E68" s="400" t="s">
        <v>247</v>
      </c>
      <c r="F68" s="401">
        <v>23.56</v>
      </c>
      <c r="G68" s="402"/>
      <c r="H68" s="402">
        <f>ROUND(F68*G68,2)</f>
        <v>0</v>
      </c>
      <c r="I68" s="453"/>
      <c r="J68" s="453"/>
      <c r="K68" s="453"/>
      <c r="L68" s="453"/>
      <c r="M68" s="450">
        <f>$M$16</f>
        <v>21</v>
      </c>
    </row>
    <row r="69" spans="1:13" ht="13.5" customHeight="1">
      <c r="A69" s="446"/>
      <c r="B69" s="403"/>
      <c r="C69" s="446" t="s">
        <v>300</v>
      </c>
      <c r="D69" s="446" t="s">
        <v>301</v>
      </c>
      <c r="E69" s="446"/>
      <c r="F69" s="446"/>
      <c r="G69" s="446"/>
      <c r="H69" s="447">
        <f>H70</f>
        <v>0</v>
      </c>
      <c r="I69" s="453"/>
      <c r="J69" s="453"/>
      <c r="K69" s="453"/>
      <c r="L69" s="453"/>
      <c r="M69" s="450"/>
    </row>
    <row r="70" spans="1:13" ht="24.75" customHeight="1">
      <c r="A70" s="400" t="s">
        <v>338</v>
      </c>
      <c r="B70" s="408">
        <v>13</v>
      </c>
      <c r="C70" s="420" t="s">
        <v>916</v>
      </c>
      <c r="D70" s="451" t="s">
        <v>550</v>
      </c>
      <c r="E70" s="400" t="s">
        <v>268</v>
      </c>
      <c r="F70" s="401">
        <v>341.871</v>
      </c>
      <c r="G70" s="402"/>
      <c r="H70" s="402">
        <f>ROUND(F70*G70,2)</f>
        <v>0</v>
      </c>
      <c r="I70" s="453"/>
      <c r="J70" s="453"/>
      <c r="K70" s="453"/>
      <c r="L70" s="453"/>
      <c r="M70" s="450">
        <f>$M$16</f>
        <v>21</v>
      </c>
    </row>
    <row r="71" spans="1:13" ht="13.5" customHeight="1">
      <c r="A71" s="446"/>
      <c r="B71" s="403"/>
      <c r="C71" s="446" t="s">
        <v>168</v>
      </c>
      <c r="D71" s="446" t="s">
        <v>489</v>
      </c>
      <c r="E71" s="446"/>
      <c r="F71" s="446"/>
      <c r="G71" s="446"/>
      <c r="H71" s="447">
        <f>H72+H86+H90+H95+H100</f>
        <v>0</v>
      </c>
      <c r="I71" s="453"/>
      <c r="J71" s="453"/>
      <c r="K71" s="453"/>
      <c r="L71" s="453"/>
      <c r="M71" s="450"/>
    </row>
    <row r="72" spans="1:13" ht="13.5" customHeight="1">
      <c r="A72" s="446"/>
      <c r="B72" s="408"/>
      <c r="C72" s="446" t="s">
        <v>917</v>
      </c>
      <c r="D72" s="446" t="s">
        <v>551</v>
      </c>
      <c r="E72" s="446"/>
      <c r="F72" s="446"/>
      <c r="G72" s="446"/>
      <c r="H72" s="447">
        <f>SUM(H73:H85)</f>
        <v>0</v>
      </c>
      <c r="I72" s="453"/>
      <c r="J72" s="453"/>
      <c r="K72" s="453"/>
      <c r="L72" s="453"/>
      <c r="M72" s="450"/>
    </row>
    <row r="73" spans="1:13" ht="24.75" customHeight="1">
      <c r="A73" s="400" t="s">
        <v>340</v>
      </c>
      <c r="B73" s="403">
        <v>13</v>
      </c>
      <c r="C73" s="420" t="s">
        <v>918</v>
      </c>
      <c r="D73" s="451" t="s">
        <v>552</v>
      </c>
      <c r="E73" s="400" t="s">
        <v>247</v>
      </c>
      <c r="F73" s="401">
        <v>29.47</v>
      </c>
      <c r="G73" s="402"/>
      <c r="H73" s="402">
        <f aca="true" t="shared" si="10" ref="H73:H85">ROUND(F73*G73,2)</f>
        <v>0</v>
      </c>
      <c r="I73" s="453"/>
      <c r="J73" s="453"/>
      <c r="K73" s="453"/>
      <c r="L73" s="453"/>
      <c r="M73" s="450">
        <f aca="true" t="shared" si="11" ref="M73:M85">$M$16</f>
        <v>21</v>
      </c>
    </row>
    <row r="74" spans="1:13" ht="13.5" customHeight="1">
      <c r="A74" s="400" t="s">
        <v>343</v>
      </c>
      <c r="B74" s="403">
        <v>13</v>
      </c>
      <c r="C74" s="420" t="s">
        <v>919</v>
      </c>
      <c r="D74" s="451" t="s">
        <v>553</v>
      </c>
      <c r="E74" s="400" t="s">
        <v>268</v>
      </c>
      <c r="F74" s="401">
        <v>0.009</v>
      </c>
      <c r="G74" s="402"/>
      <c r="H74" s="402">
        <f t="shared" si="10"/>
        <v>0</v>
      </c>
      <c r="I74" s="453"/>
      <c r="J74" s="453"/>
      <c r="K74" s="453"/>
      <c r="L74" s="453"/>
      <c r="M74" s="450">
        <f t="shared" si="11"/>
        <v>21</v>
      </c>
    </row>
    <row r="75" spans="1:13" ht="13.5" customHeight="1">
      <c r="A75" s="400" t="s">
        <v>344</v>
      </c>
      <c r="B75" s="408">
        <v>13</v>
      </c>
      <c r="C75" s="420" t="s">
        <v>920</v>
      </c>
      <c r="D75" s="451" t="s">
        <v>554</v>
      </c>
      <c r="E75" s="400" t="s">
        <v>247</v>
      </c>
      <c r="F75" s="401">
        <v>65.596</v>
      </c>
      <c r="G75" s="402"/>
      <c r="H75" s="402">
        <f t="shared" si="10"/>
        <v>0</v>
      </c>
      <c r="I75" s="453"/>
      <c r="J75" s="453"/>
      <c r="K75" s="453"/>
      <c r="L75" s="453"/>
      <c r="M75" s="450">
        <f t="shared" si="11"/>
        <v>21</v>
      </c>
    </row>
    <row r="76" spans="1:13" ht="13.5" customHeight="1">
      <c r="A76" s="400" t="s">
        <v>345</v>
      </c>
      <c r="B76" s="408">
        <v>13</v>
      </c>
      <c r="C76" s="420" t="s">
        <v>919</v>
      </c>
      <c r="D76" s="451" t="s">
        <v>553</v>
      </c>
      <c r="E76" s="400" t="s">
        <v>268</v>
      </c>
      <c r="F76" s="401">
        <v>0.023</v>
      </c>
      <c r="G76" s="402"/>
      <c r="H76" s="402">
        <f t="shared" si="10"/>
        <v>0</v>
      </c>
      <c r="I76" s="453"/>
      <c r="J76" s="453"/>
      <c r="K76" s="453"/>
      <c r="L76" s="453"/>
      <c r="M76" s="450">
        <f t="shared" si="11"/>
        <v>21</v>
      </c>
    </row>
    <row r="77" spans="1:13" ht="13.5" customHeight="1">
      <c r="A77" s="400" t="s">
        <v>346</v>
      </c>
      <c r="B77" s="403">
        <v>13</v>
      </c>
      <c r="C77" s="420" t="s">
        <v>921</v>
      </c>
      <c r="D77" s="451" t="s">
        <v>555</v>
      </c>
      <c r="E77" s="400" t="s">
        <v>247</v>
      </c>
      <c r="F77" s="401">
        <v>196.787</v>
      </c>
      <c r="G77" s="402"/>
      <c r="H77" s="402">
        <f t="shared" si="10"/>
        <v>0</v>
      </c>
      <c r="I77" s="453"/>
      <c r="J77" s="453"/>
      <c r="K77" s="453"/>
      <c r="L77" s="453"/>
      <c r="M77" s="450">
        <f t="shared" si="11"/>
        <v>21</v>
      </c>
    </row>
    <row r="78" spans="1:13" ht="13.5" customHeight="1">
      <c r="A78" s="400" t="s">
        <v>347</v>
      </c>
      <c r="B78" s="403">
        <v>13</v>
      </c>
      <c r="C78" s="420" t="s">
        <v>922</v>
      </c>
      <c r="D78" s="451" t="s">
        <v>556</v>
      </c>
      <c r="E78" s="400" t="s">
        <v>268</v>
      </c>
      <c r="F78" s="401">
        <v>0.216</v>
      </c>
      <c r="G78" s="402"/>
      <c r="H78" s="402">
        <f t="shared" si="10"/>
        <v>0</v>
      </c>
      <c r="I78" s="453"/>
      <c r="J78" s="453"/>
      <c r="K78" s="453"/>
      <c r="L78" s="453"/>
      <c r="M78" s="450">
        <f t="shared" si="11"/>
        <v>21</v>
      </c>
    </row>
    <row r="79" spans="1:13" ht="13.5" customHeight="1">
      <c r="A79" s="400" t="s">
        <v>348</v>
      </c>
      <c r="B79" s="408">
        <v>13</v>
      </c>
      <c r="C79" s="420" t="s">
        <v>923</v>
      </c>
      <c r="D79" s="451" t="s">
        <v>557</v>
      </c>
      <c r="E79" s="400" t="s">
        <v>247</v>
      </c>
      <c r="F79" s="401">
        <v>58.94</v>
      </c>
      <c r="G79" s="402"/>
      <c r="H79" s="402">
        <f t="shared" si="10"/>
        <v>0</v>
      </c>
      <c r="I79" s="453"/>
      <c r="J79" s="453"/>
      <c r="K79" s="453"/>
      <c r="L79" s="453"/>
      <c r="M79" s="450">
        <f t="shared" si="11"/>
        <v>21</v>
      </c>
    </row>
    <row r="80" spans="1:13" ht="13.5" customHeight="1">
      <c r="A80" s="400" t="s">
        <v>349</v>
      </c>
      <c r="B80" s="408">
        <v>13</v>
      </c>
      <c r="C80" s="420" t="s">
        <v>924</v>
      </c>
      <c r="D80" s="451" t="s">
        <v>558</v>
      </c>
      <c r="E80" s="400" t="s">
        <v>247</v>
      </c>
      <c r="F80" s="401">
        <v>67.781</v>
      </c>
      <c r="G80" s="402"/>
      <c r="H80" s="402">
        <f t="shared" si="10"/>
        <v>0</v>
      </c>
      <c r="I80" s="453"/>
      <c r="J80" s="453"/>
      <c r="K80" s="453"/>
      <c r="L80" s="453"/>
      <c r="M80" s="450">
        <f t="shared" si="11"/>
        <v>21</v>
      </c>
    </row>
    <row r="81" spans="1:13" ht="13.5" customHeight="1">
      <c r="A81" s="400" t="s">
        <v>372</v>
      </c>
      <c r="B81" s="403">
        <v>13</v>
      </c>
      <c r="C81" s="420" t="s">
        <v>925</v>
      </c>
      <c r="D81" s="451" t="s">
        <v>559</v>
      </c>
      <c r="E81" s="400" t="s">
        <v>247</v>
      </c>
      <c r="F81" s="401">
        <v>13.81</v>
      </c>
      <c r="G81" s="402"/>
      <c r="H81" s="402">
        <f t="shared" si="10"/>
        <v>0</v>
      </c>
      <c r="I81" s="453"/>
      <c r="J81" s="453"/>
      <c r="K81" s="453"/>
      <c r="L81" s="453"/>
      <c r="M81" s="450">
        <f t="shared" si="11"/>
        <v>21</v>
      </c>
    </row>
    <row r="82" spans="1:13" ht="13.5" customHeight="1">
      <c r="A82" s="400" t="s">
        <v>373</v>
      </c>
      <c r="B82" s="403">
        <v>13</v>
      </c>
      <c r="C82" s="420" t="s">
        <v>924</v>
      </c>
      <c r="D82" s="451" t="s">
        <v>558</v>
      </c>
      <c r="E82" s="400" t="s">
        <v>247</v>
      </c>
      <c r="F82" s="401">
        <v>15.882</v>
      </c>
      <c r="G82" s="402"/>
      <c r="H82" s="402">
        <f t="shared" si="10"/>
        <v>0</v>
      </c>
      <c r="I82" s="453"/>
      <c r="J82" s="453"/>
      <c r="K82" s="453"/>
      <c r="L82" s="453"/>
      <c r="M82" s="450">
        <f t="shared" si="11"/>
        <v>21</v>
      </c>
    </row>
    <row r="83" spans="1:13" ht="13.5" customHeight="1">
      <c r="A83" s="400" t="s">
        <v>374</v>
      </c>
      <c r="B83" s="408">
        <v>13</v>
      </c>
      <c r="C83" s="420" t="s">
        <v>926</v>
      </c>
      <c r="D83" s="451" t="s">
        <v>560</v>
      </c>
      <c r="E83" s="400" t="s">
        <v>247</v>
      </c>
      <c r="F83" s="401">
        <v>65.596</v>
      </c>
      <c r="G83" s="402"/>
      <c r="H83" s="402">
        <f t="shared" si="10"/>
        <v>0</v>
      </c>
      <c r="I83" s="453"/>
      <c r="J83" s="453"/>
      <c r="K83" s="453"/>
      <c r="L83" s="453"/>
      <c r="M83" s="450">
        <f t="shared" si="11"/>
        <v>21</v>
      </c>
    </row>
    <row r="84" spans="1:13" ht="13.5" customHeight="1">
      <c r="A84" s="400" t="s">
        <v>376</v>
      </c>
      <c r="B84" s="408">
        <v>13</v>
      </c>
      <c r="C84" s="420" t="s">
        <v>927</v>
      </c>
      <c r="D84" s="451" t="s">
        <v>561</v>
      </c>
      <c r="E84" s="400" t="s">
        <v>247</v>
      </c>
      <c r="F84" s="401">
        <v>75.435</v>
      </c>
      <c r="G84" s="402"/>
      <c r="H84" s="402">
        <f t="shared" si="10"/>
        <v>0</v>
      </c>
      <c r="I84" s="453"/>
      <c r="J84" s="453"/>
      <c r="K84" s="453"/>
      <c r="L84" s="453"/>
      <c r="M84" s="450">
        <f t="shared" si="11"/>
        <v>21</v>
      </c>
    </row>
    <row r="85" spans="1:13" ht="13.5" customHeight="1">
      <c r="A85" s="400" t="s">
        <v>377</v>
      </c>
      <c r="B85" s="403">
        <v>13</v>
      </c>
      <c r="C85" s="420" t="s">
        <v>928</v>
      </c>
      <c r="D85" s="451" t="s">
        <v>562</v>
      </c>
      <c r="E85" s="400" t="s">
        <v>9</v>
      </c>
      <c r="F85" s="401">
        <v>3</v>
      </c>
      <c r="G85" s="402"/>
      <c r="H85" s="402">
        <f t="shared" si="10"/>
        <v>0</v>
      </c>
      <c r="I85" s="453"/>
      <c r="J85" s="453"/>
      <c r="K85" s="453"/>
      <c r="L85" s="453"/>
      <c r="M85" s="450">
        <f t="shared" si="11"/>
        <v>21</v>
      </c>
    </row>
    <row r="86" spans="1:13" ht="13.5" customHeight="1">
      <c r="A86" s="446"/>
      <c r="B86" s="408"/>
      <c r="C86" s="446" t="s">
        <v>490</v>
      </c>
      <c r="D86" s="446" t="s">
        <v>491</v>
      </c>
      <c r="E86" s="446"/>
      <c r="F86" s="446"/>
      <c r="G86" s="446"/>
      <c r="H86" s="447">
        <f>SUM(H87:H89)</f>
        <v>0</v>
      </c>
      <c r="I86" s="453"/>
      <c r="J86" s="453"/>
      <c r="K86" s="453"/>
      <c r="L86" s="453"/>
      <c r="M86" s="450"/>
    </row>
    <row r="87" spans="1:13" ht="13.5" customHeight="1">
      <c r="A87" s="400" t="s">
        <v>378</v>
      </c>
      <c r="B87" s="403">
        <v>13</v>
      </c>
      <c r="C87" s="420" t="s">
        <v>929</v>
      </c>
      <c r="D87" s="451" t="s">
        <v>563</v>
      </c>
      <c r="E87" s="400" t="s">
        <v>342</v>
      </c>
      <c r="F87" s="401">
        <v>1</v>
      </c>
      <c r="G87" s="402"/>
      <c r="H87" s="402">
        <f>ROUND(F87*G87,2)</f>
        <v>0</v>
      </c>
      <c r="I87" s="453"/>
      <c r="J87" s="453"/>
      <c r="K87" s="453"/>
      <c r="L87" s="453"/>
      <c r="M87" s="450">
        <f>$M$16</f>
        <v>21</v>
      </c>
    </row>
    <row r="88" spans="1:13" ht="13.5" customHeight="1">
      <c r="A88" s="400" t="s">
        <v>380</v>
      </c>
      <c r="B88" s="408">
        <v>13</v>
      </c>
      <c r="C88" s="420" t="s">
        <v>930</v>
      </c>
      <c r="D88" s="451" t="s">
        <v>564</v>
      </c>
      <c r="E88" s="400" t="s">
        <v>274</v>
      </c>
      <c r="F88" s="401">
        <v>9</v>
      </c>
      <c r="G88" s="402"/>
      <c r="H88" s="402">
        <f>ROUND(F88*G88,2)</f>
        <v>0</v>
      </c>
      <c r="I88" s="453"/>
      <c r="J88" s="453"/>
      <c r="K88" s="453"/>
      <c r="L88" s="453"/>
      <c r="M88" s="450">
        <f>$M$16</f>
        <v>21</v>
      </c>
    </row>
    <row r="89" spans="1:13" ht="13.5" customHeight="1">
      <c r="A89" s="400" t="s">
        <v>381</v>
      </c>
      <c r="B89" s="403">
        <v>13</v>
      </c>
      <c r="C89" s="420" t="s">
        <v>931</v>
      </c>
      <c r="D89" s="451" t="s">
        <v>565</v>
      </c>
      <c r="E89" s="400" t="s">
        <v>9</v>
      </c>
      <c r="F89" s="401">
        <v>1.4</v>
      </c>
      <c r="G89" s="402"/>
      <c r="H89" s="402">
        <f>ROUND(F89*G89,2)</f>
        <v>0</v>
      </c>
      <c r="I89" s="453"/>
      <c r="J89" s="453"/>
      <c r="K89" s="453"/>
      <c r="L89" s="453"/>
      <c r="M89" s="450">
        <f>$M$16</f>
        <v>21</v>
      </c>
    </row>
    <row r="90" spans="1:13" ht="13.5" customHeight="1">
      <c r="A90" s="446"/>
      <c r="B90" s="408"/>
      <c r="C90" s="446" t="s">
        <v>932</v>
      </c>
      <c r="D90" s="446" t="s">
        <v>566</v>
      </c>
      <c r="E90" s="446"/>
      <c r="F90" s="446"/>
      <c r="G90" s="446"/>
      <c r="H90" s="447">
        <f>SUM(H91:H94)</f>
        <v>0</v>
      </c>
      <c r="I90" s="453"/>
      <c r="J90" s="453"/>
      <c r="K90" s="453"/>
      <c r="L90" s="453"/>
      <c r="M90" s="450"/>
    </row>
    <row r="91" spans="1:13" ht="13.5" customHeight="1">
      <c r="A91" s="400" t="s">
        <v>383</v>
      </c>
      <c r="B91" s="403">
        <v>13</v>
      </c>
      <c r="C91" s="420" t="s">
        <v>933</v>
      </c>
      <c r="D91" s="451" t="s">
        <v>567</v>
      </c>
      <c r="E91" s="400" t="s">
        <v>247</v>
      </c>
      <c r="F91" s="401">
        <v>23.56</v>
      </c>
      <c r="G91" s="402"/>
      <c r="H91" s="402">
        <f>ROUND(F91*G91,2)</f>
        <v>0</v>
      </c>
      <c r="I91" s="453"/>
      <c r="J91" s="453"/>
      <c r="K91" s="453"/>
      <c r="L91" s="453"/>
      <c r="M91" s="450">
        <f>$M$16</f>
        <v>21</v>
      </c>
    </row>
    <row r="92" spans="1:13" ht="13.5" customHeight="1">
      <c r="A92" s="400" t="s">
        <v>384</v>
      </c>
      <c r="B92" s="408">
        <v>13</v>
      </c>
      <c r="C92" s="420" t="s">
        <v>934</v>
      </c>
      <c r="D92" s="451" t="s">
        <v>568</v>
      </c>
      <c r="E92" s="400" t="s">
        <v>247</v>
      </c>
      <c r="F92" s="401">
        <v>25.916</v>
      </c>
      <c r="G92" s="402"/>
      <c r="H92" s="402">
        <f>ROUND(F92*G92,2)</f>
        <v>0</v>
      </c>
      <c r="I92" s="453"/>
      <c r="J92" s="453"/>
      <c r="K92" s="453"/>
      <c r="L92" s="453"/>
      <c r="M92" s="450">
        <f>$M$16</f>
        <v>21</v>
      </c>
    </row>
    <row r="93" spans="1:13" ht="13.5" customHeight="1">
      <c r="A93" s="400" t="s">
        <v>386</v>
      </c>
      <c r="B93" s="403">
        <v>13</v>
      </c>
      <c r="C93" s="420" t="s">
        <v>935</v>
      </c>
      <c r="D93" s="451" t="s">
        <v>569</v>
      </c>
      <c r="E93" s="400" t="s">
        <v>247</v>
      </c>
      <c r="F93" s="401">
        <v>23.56</v>
      </c>
      <c r="G93" s="402"/>
      <c r="H93" s="402">
        <f>ROUND(F93*G93,2)</f>
        <v>0</v>
      </c>
      <c r="I93" s="453"/>
      <c r="J93" s="453"/>
      <c r="K93" s="453"/>
      <c r="L93" s="453"/>
      <c r="M93" s="450">
        <f>$M$16</f>
        <v>21</v>
      </c>
    </row>
    <row r="94" spans="1:13" ht="13.5" customHeight="1">
      <c r="A94" s="400" t="s">
        <v>387</v>
      </c>
      <c r="B94" s="408">
        <v>13</v>
      </c>
      <c r="C94" s="420" t="s">
        <v>936</v>
      </c>
      <c r="D94" s="451" t="s">
        <v>570</v>
      </c>
      <c r="E94" s="400" t="s">
        <v>9</v>
      </c>
      <c r="F94" s="401">
        <v>5.7</v>
      </c>
      <c r="G94" s="402"/>
      <c r="H94" s="402">
        <f>ROUND(F94*G94,2)</f>
        <v>0</v>
      </c>
      <c r="I94" s="453"/>
      <c r="J94" s="453"/>
      <c r="K94" s="453"/>
      <c r="L94" s="453"/>
      <c r="M94" s="450">
        <f>$M$16</f>
        <v>21</v>
      </c>
    </row>
    <row r="95" spans="1:13" ht="13.5" customHeight="1">
      <c r="A95" s="446"/>
      <c r="B95" s="403"/>
      <c r="C95" s="446" t="s">
        <v>937</v>
      </c>
      <c r="D95" s="446" t="s">
        <v>571</v>
      </c>
      <c r="E95" s="446"/>
      <c r="F95" s="446"/>
      <c r="G95" s="446"/>
      <c r="H95" s="447">
        <f>SUM(H96:H99)</f>
        <v>0</v>
      </c>
      <c r="I95" s="453"/>
      <c r="J95" s="453"/>
      <c r="K95" s="453"/>
      <c r="L95" s="453"/>
      <c r="M95" s="450"/>
    </row>
    <row r="96" spans="1:13" ht="13.5" customHeight="1">
      <c r="A96" s="400" t="s">
        <v>389</v>
      </c>
      <c r="B96" s="408">
        <v>13</v>
      </c>
      <c r="C96" s="420" t="s">
        <v>938</v>
      </c>
      <c r="D96" s="451" t="s">
        <v>572</v>
      </c>
      <c r="E96" s="400" t="s">
        <v>247</v>
      </c>
      <c r="F96" s="401">
        <v>22.802</v>
      </c>
      <c r="G96" s="402"/>
      <c r="H96" s="402">
        <f>ROUND(F96*G96,2)</f>
        <v>0</v>
      </c>
      <c r="I96" s="453"/>
      <c r="J96" s="453"/>
      <c r="K96" s="453"/>
      <c r="L96" s="453"/>
      <c r="M96" s="450">
        <f>$M$16</f>
        <v>21</v>
      </c>
    </row>
    <row r="97" spans="1:13" ht="13.5" customHeight="1">
      <c r="A97" s="400" t="s">
        <v>391</v>
      </c>
      <c r="B97" s="408">
        <v>13</v>
      </c>
      <c r="C97" s="420" t="s">
        <v>934</v>
      </c>
      <c r="D97" s="451" t="s">
        <v>568</v>
      </c>
      <c r="E97" s="400" t="s">
        <v>247</v>
      </c>
      <c r="F97" s="401">
        <v>25.082</v>
      </c>
      <c r="G97" s="402"/>
      <c r="H97" s="402">
        <f>ROUND(F97*G97,2)</f>
        <v>0</v>
      </c>
      <c r="I97" s="453"/>
      <c r="J97" s="453"/>
      <c r="K97" s="453"/>
      <c r="L97" s="453"/>
      <c r="M97" s="450">
        <f>$M$16</f>
        <v>21</v>
      </c>
    </row>
    <row r="98" spans="1:13" ht="13.5" customHeight="1">
      <c r="A98" s="400" t="s">
        <v>393</v>
      </c>
      <c r="B98" s="403">
        <v>13</v>
      </c>
      <c r="C98" s="420" t="s">
        <v>939</v>
      </c>
      <c r="D98" s="451" t="s">
        <v>573</v>
      </c>
      <c r="E98" s="400" t="s">
        <v>247</v>
      </c>
      <c r="F98" s="401">
        <v>22.802</v>
      </c>
      <c r="G98" s="402"/>
      <c r="H98" s="402">
        <f>ROUND(F98*G98,2)</f>
        <v>0</v>
      </c>
      <c r="I98" s="453"/>
      <c r="J98" s="453"/>
      <c r="K98" s="453"/>
      <c r="L98" s="453"/>
      <c r="M98" s="450">
        <f>$M$16</f>
        <v>21</v>
      </c>
    </row>
    <row r="99" spans="1:13" ht="13.5" customHeight="1">
      <c r="A99" s="400" t="s">
        <v>394</v>
      </c>
      <c r="B99" s="408">
        <v>13</v>
      </c>
      <c r="C99" s="420" t="s">
        <v>940</v>
      </c>
      <c r="D99" s="451" t="s">
        <v>574</v>
      </c>
      <c r="E99" s="400" t="s">
        <v>9</v>
      </c>
      <c r="F99" s="401">
        <v>3</v>
      </c>
      <c r="G99" s="402"/>
      <c r="H99" s="402">
        <f>ROUND(F99*G99,2)</f>
        <v>0</v>
      </c>
      <c r="I99" s="453"/>
      <c r="J99" s="453"/>
      <c r="K99" s="453"/>
      <c r="L99" s="453"/>
      <c r="M99" s="450">
        <f>$M$16</f>
        <v>21</v>
      </c>
    </row>
    <row r="100" spans="1:13" ht="13.5" customHeight="1">
      <c r="A100" s="446"/>
      <c r="B100" s="403"/>
      <c r="C100" s="446" t="s">
        <v>941</v>
      </c>
      <c r="D100" s="446" t="s">
        <v>575</v>
      </c>
      <c r="E100" s="446"/>
      <c r="F100" s="446"/>
      <c r="G100" s="446"/>
      <c r="H100" s="447">
        <f>SUM(H101:H101)</f>
        <v>0</v>
      </c>
      <c r="I100" s="453"/>
      <c r="J100" s="453"/>
      <c r="K100" s="453"/>
      <c r="L100" s="453"/>
      <c r="M100" s="450"/>
    </row>
    <row r="101" spans="1:13" ht="13.5" customHeight="1">
      <c r="A101" s="400" t="s">
        <v>395</v>
      </c>
      <c r="B101" s="408">
        <v>13</v>
      </c>
      <c r="C101" s="420" t="s">
        <v>942</v>
      </c>
      <c r="D101" s="451" t="s">
        <v>576</v>
      </c>
      <c r="E101" s="400" t="s">
        <v>247</v>
      </c>
      <c r="F101" s="401">
        <v>42.645</v>
      </c>
      <c r="G101" s="402"/>
      <c r="H101" s="402">
        <f>ROUND(F101*G101,2)</f>
        <v>0</v>
      </c>
      <c r="I101" s="453"/>
      <c r="J101" s="453"/>
      <c r="K101" s="453"/>
      <c r="L101" s="453"/>
      <c r="M101" s="450">
        <f>$M$16</f>
        <v>21</v>
      </c>
    </row>
    <row r="102" spans="1:13" ht="13.5" customHeight="1">
      <c r="A102" s="399"/>
      <c r="B102" s="408"/>
      <c r="C102" s="399"/>
      <c r="D102" s="399" t="s">
        <v>124</v>
      </c>
      <c r="E102" s="399"/>
      <c r="F102" s="399"/>
      <c r="G102" s="399"/>
      <c r="H102" s="454">
        <f>H14+H71</f>
        <v>0</v>
      </c>
      <c r="I102" s="453"/>
      <c r="J102" s="453"/>
      <c r="K102" s="453"/>
      <c r="L102" s="453"/>
      <c r="M102" s="450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W41" sqref="W41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577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116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337" t="s">
        <v>215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1" t="s">
        <v>215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SUMIF('[10]Rozpocet'!O5:O65535,8,'[10]Rozpocet'!I5:I65535)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11014.24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SUMIF('[10]Rozpocet'!O10:O65536,4,'[10]Rozpocet'!I10:I65536)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SUMIF('[10]Rozpocet'!O11:O65536,32,'[10]Rozpocet'!I11:I65536)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SUMIF('[10]Rozpocet'!O12:O65536,16,'[10]Rozpocet'!I12:I65536)+SUMIF('[10]Rozpocet'!O12:O65536,128,'[10]Rozpocet'!I12:I65536)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SUMIF('[10]Rozpocet'!O13:O65536,256,'[10]Rozpocet'!I13:I65536)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SUMIF('[10]Rozpocet'!O14:O65536,64,'[10]Rozpocet'!I14:I65536)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SUMIF('[10]Rozpocet'!O14:O65536,1024,'[10]Rozpocet'!I14:I65536)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SUMIF('[10]Rozpocet'!O14:O65536,512,'[10]Rozpocet'!I14:I65536)</f>
        <v>#VALUE!</v>
      </c>
      <c r="F45" s="223"/>
      <c r="G45" s="267">
        <v>21</v>
      </c>
      <c r="H45" s="268" t="s">
        <v>193</v>
      </c>
      <c r="I45" s="270"/>
      <c r="J45" s="272">
        <v>6174.6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SUMIF('[10]Rozpocet'!O14:O65536,"&lt;4",'[10]Rozpocet'!I14:I65536)+SUMIF('[10]Rozpocet'!O14:O65536,"&gt;1024",'[10]Rozpocet'!I14:I65536)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SUMIF('[10]Rozpocet'!N14:N65536,M49,'[10]Rozpocet'!I14:I65536)+SUMIF(P38:P42,M49,R38:R42)+IF(K45=M49,J45,0)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'[10]Krycí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'[10]Krycí list'!E7</f>
        <v>SO 04 Přeložka NN</v>
      </c>
      <c r="C3" s="301"/>
      <c r="D3" s="299"/>
      <c r="E3" s="302"/>
    </row>
    <row r="4" spans="1:5" ht="12" customHeight="1">
      <c r="A4" s="298" t="s">
        <v>226</v>
      </c>
      <c r="B4" s="299" t="str">
        <f>'[10]Krycí list'!E9</f>
        <v> </v>
      </c>
      <c r="C4" s="301"/>
      <c r="D4" s="299"/>
      <c r="E4" s="302"/>
    </row>
    <row r="5" spans="1:5" ht="12" customHeight="1">
      <c r="A5" s="299" t="s">
        <v>227</v>
      </c>
      <c r="B5" s="299" t="str">
        <f>'[10]Krycí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'[10]Krycí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'[10]Krycí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'[10]Rozpocet'!D14</f>
        <v>M</v>
      </c>
      <c r="B14" s="315" t="str">
        <f>'[10]Rozpocet'!E14</f>
        <v>Práce a dodávky M</v>
      </c>
      <c r="C14" s="316">
        <f>'[10]Rozpocet'!I14</f>
        <v>458926.65</v>
      </c>
      <c r="D14" s="317">
        <f>'[10]Rozpocet'!K14</f>
        <v>0</v>
      </c>
      <c r="E14" s="317">
        <f>'[10]Rozpocet'!M14</f>
        <v>0</v>
      </c>
    </row>
    <row r="15" spans="1:5" s="318" customFormat="1" ht="12.75" customHeight="1">
      <c r="A15" s="319" t="str">
        <f>'[10]Rozpocet'!D15</f>
        <v>21-M</v>
      </c>
      <c r="B15" s="320" t="str">
        <f>'[10]Rozpocet'!E15</f>
        <v>Elektromontáže</v>
      </c>
      <c r="C15" s="321">
        <f>'[10]Rozpocet'!I15</f>
        <v>458926.65</v>
      </c>
      <c r="D15" s="322">
        <f>'[10]Rozpocet'!K15</f>
        <v>0</v>
      </c>
      <c r="E15" s="322">
        <f>'[10]Rozpocet'!M15</f>
        <v>0</v>
      </c>
    </row>
    <row r="16" spans="2:5" s="323" customFormat="1" ht="12.75" customHeight="1">
      <c r="B16" s="324" t="s">
        <v>124</v>
      </c>
      <c r="C16" s="325">
        <f>'[10]Rozpocet'!I17</f>
        <v>458926.65</v>
      </c>
      <c r="D16" s="326">
        <f>'[10]Rozpocet'!K17</f>
        <v>0</v>
      </c>
      <c r="E16" s="326">
        <f>'[10]Rozpocet'!M17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W40" sqref="W40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578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118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337" t="s">
        <v>215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1" t="s">
        <v>215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SUMIF('[11]Rozpocet'!O5:O65535,8,'[11]Rozpocet'!I5:I65535)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991.92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SUMIF('[11]Rozpocet'!O10:O65536,4,'[11]Rozpocet'!I10:I65536)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SUMIF('[11]Rozpocet'!O11:O65536,32,'[11]Rozpocet'!I11:I65536)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SUMIF('[11]Rozpocet'!O12:O65536,16,'[11]Rozpocet'!I12:I65536)+SUMIF('[11]Rozpocet'!O12:O65536,128,'[11]Rozpocet'!I12:I65536)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SUMIF('[11]Rozpocet'!O13:O65536,256,'[11]Rozpocet'!I13:I65536)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SUMIF('[11]Rozpocet'!O14:O65536,64,'[11]Rozpocet'!I14:I65536)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SUMIF('[11]Rozpocet'!O14:O65536,1024,'[11]Rozpocet'!I14:I65536)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SUMIF('[11]Rozpocet'!O14:O65536,512,'[11]Rozpocet'!I14:I65536)</f>
        <v>#VALUE!</v>
      </c>
      <c r="F45" s="223"/>
      <c r="G45" s="267">
        <v>21</v>
      </c>
      <c r="H45" s="268" t="s">
        <v>193</v>
      </c>
      <c r="I45" s="270"/>
      <c r="J45" s="272">
        <v>622.99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SUMIF('[11]Rozpocet'!O14:O65536,"&lt;4",'[11]Rozpocet'!I14:I65536)+SUMIF('[11]Rozpocet'!O14:O65536,"&gt;1024",'[11]Rozpocet'!I14:I65536)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SUMIF('[11]Rozpocet'!N14:N65536,M49,'[11]Rozpocet'!I14:I65536)+SUMIF(P38:P42,M49,R38:R42)+IF(K45=M49,J45,0)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7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E44" sqref="E44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218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86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SUMIF('[1]Rozpocet'!O5:O65535,8,'[1]Rozpocet'!I5:I65535)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7885.2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SUMIF('[1]Rozpocet'!O10:O65536,4,'[1]Rozpocet'!I10:I65536)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SUMIF('[1]Rozpocet'!O11:O65536,32,'[1]Rozpocet'!I11:I65536)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SUMIF('[1]Rozpocet'!O12:O65536,16,'[1]Rozpocet'!I12:I65536)+SUMIF('[1]Rozpocet'!O12:O65536,128,'[1]Rozpocet'!I12:I65536)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SUMIF('[1]Rozpocet'!O13:O65536,256,'[1]Rozpocet'!I13:I65536)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SUMIF('[1]Rozpocet'!O14:O65536,64,'[1]Rozpocet'!I14:I65536)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SUMIF('[1]Rozpocet'!O14:O65536,1024,'[1]Rozpocet'!I14:I65536)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SUMIF('[1]Rozpocet'!O14:O65536,512,'[1]Rozpocet'!I14:I65536)</f>
        <v>#VALUE!</v>
      </c>
      <c r="F45" s="223"/>
      <c r="G45" s="267">
        <v>21</v>
      </c>
      <c r="H45" s="268" t="s">
        <v>193</v>
      </c>
      <c r="I45" s="270"/>
      <c r="J45" s="272">
        <v>4490.74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SUMIF('[1]Rozpocet'!O14:O65536,"&lt;4",'[1]Rozpocet'!I14:I65536)+SUMIF('[1]Rozpocet'!O14:O65536,"&gt;1024",'[1]Rozpocet'!I14:I65536)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SUMIF('[1]Rozpocet'!N14:N65536,M49,'[1]Rozpocet'!I14:I65536)+SUMIF(P38:P42,M49,R38:R42)+IF(K45=M49,J45,0)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'[11]Krycí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'[11]Krycí list'!E7</f>
        <v>S0 05 Přeložka VO</v>
      </c>
      <c r="C3" s="301"/>
      <c r="D3" s="299"/>
      <c r="E3" s="302"/>
    </row>
    <row r="4" spans="1:5" ht="12" customHeight="1">
      <c r="A4" s="298" t="s">
        <v>226</v>
      </c>
      <c r="B4" s="299" t="str">
        <f>'[11]Krycí list'!E9</f>
        <v> </v>
      </c>
      <c r="C4" s="301"/>
      <c r="D4" s="299"/>
      <c r="E4" s="302"/>
    </row>
    <row r="5" spans="1:5" ht="12" customHeight="1">
      <c r="A5" s="299" t="s">
        <v>227</v>
      </c>
      <c r="B5" s="299" t="str">
        <f>'[11]Krycí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'[11]Krycí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'[11]Krycí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'[11]Rozpocet'!D14</f>
        <v>M</v>
      </c>
      <c r="B14" s="315" t="str">
        <f>'[11]Rozpocet'!E14</f>
        <v>Práce a dodávky M</v>
      </c>
      <c r="C14" s="316">
        <f>'[11]Rozpocet'!I14</f>
        <v>41330.1</v>
      </c>
      <c r="D14" s="317">
        <f>'[11]Rozpocet'!K14</f>
        <v>0</v>
      </c>
      <c r="E14" s="317">
        <f>'[11]Rozpocet'!M14</f>
        <v>0</v>
      </c>
    </row>
    <row r="15" spans="1:5" s="318" customFormat="1" ht="12.75" customHeight="1">
      <c r="A15" s="319" t="str">
        <f>'[11]Rozpocet'!D15</f>
        <v>21-M</v>
      </c>
      <c r="B15" s="320" t="str">
        <f>'[11]Rozpocet'!E15</f>
        <v>Elektromontáže</v>
      </c>
      <c r="C15" s="321">
        <f>'[11]Rozpocet'!I15</f>
        <v>41330.1</v>
      </c>
      <c r="D15" s="322">
        <f>'[11]Rozpocet'!K15</f>
        <v>0</v>
      </c>
      <c r="E15" s="322">
        <f>'[11]Rozpocet'!M15</f>
        <v>0</v>
      </c>
    </row>
    <row r="16" spans="2:5" s="323" customFormat="1" ht="12.75" customHeight="1">
      <c r="B16" s="324" t="s">
        <v>124</v>
      </c>
      <c r="C16" s="325">
        <f>'[11]Rozpocet'!I17</f>
        <v>41330.1</v>
      </c>
      <c r="D16" s="326">
        <f>'[11]Rozpocet'!K17</f>
        <v>0</v>
      </c>
      <c r="E16" s="326">
        <f>'[11]Rozpocet'!M17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W39" sqref="W39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579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120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337" t="s">
        <v>215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1" t="s">
        <v>215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SUMIF('[12]Rozpocet'!O5:O65535,8,'[12]Rozpocet'!I5:I65535)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2011.77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SUMIF('[12]Rozpocet'!O10:O65536,4,'[12]Rozpocet'!I10:I65536)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SUMIF('[12]Rozpocet'!O11:O65536,32,'[12]Rozpocet'!I11:I65536)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SUMIF('[12]Rozpocet'!O12:O65536,16,'[12]Rozpocet'!I12:I65536)+SUMIF('[12]Rozpocet'!O12:O65536,128,'[12]Rozpocet'!I12:I65536)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SUMIF('[12]Rozpocet'!O13:O65536,256,'[12]Rozpocet'!I13:I65536)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SUMIF('[12]Rozpocet'!O14:O65536,64,'[12]Rozpocet'!I14:I65536)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SUMIF('[12]Rozpocet'!O14:O65536,1024,'[12]Rozpocet'!I14:I65536)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SUMIF('[12]Rozpocet'!O14:O65536,512,'[12]Rozpocet'!I14:I65536)</f>
        <v>#VALUE!</v>
      </c>
      <c r="F45" s="223"/>
      <c r="G45" s="267">
        <v>21</v>
      </c>
      <c r="H45" s="268" t="s">
        <v>193</v>
      </c>
      <c r="I45" s="270"/>
      <c r="J45" s="272">
        <v>1222.04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SUMIF('[12]Rozpocet'!O14:O65536,"&lt;4",'[12]Rozpocet'!I14:I65536)+SUMIF('[12]Rozpocet'!O14:O65536,"&gt;1024",'[12]Rozpocet'!I14:I65536)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SUMIF('[12]Rozpocet'!N14:N65536,M49,'[12]Rozpocet'!I14:I65536)+SUMIF(P38:P42,M49,R38:R42)+IF(K45=M49,J45,0)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5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'[12]Krycí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'[12]Krycí list'!E7</f>
        <v>SO 06 Přeložka slaboproudu</v>
      </c>
      <c r="C3" s="301"/>
      <c r="D3" s="299"/>
      <c r="E3" s="302"/>
    </row>
    <row r="4" spans="1:5" ht="12" customHeight="1">
      <c r="A4" s="298" t="s">
        <v>226</v>
      </c>
      <c r="B4" s="299" t="str">
        <f>'[12]Krycí list'!E9</f>
        <v> </v>
      </c>
      <c r="C4" s="301"/>
      <c r="D4" s="299"/>
      <c r="E4" s="302"/>
    </row>
    <row r="5" spans="1:5" ht="12" customHeight="1">
      <c r="A5" s="299" t="s">
        <v>227</v>
      </c>
      <c r="B5" s="299" t="str">
        <f>'[12]Krycí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'[12]Krycí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'[12]Krycí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'[12]Rozpocet'!D14</f>
        <v>M</v>
      </c>
      <c r="B14" s="315" t="str">
        <f>'[12]Rozpocet'!E14</f>
        <v>Práce a dodávky M</v>
      </c>
      <c r="C14" s="316">
        <f>'[12]Rozpocet'!I14</f>
        <v>83823.6</v>
      </c>
      <c r="D14" s="317">
        <f>'[12]Rozpocet'!K14</f>
        <v>0</v>
      </c>
      <c r="E14" s="317">
        <f>'[12]Rozpocet'!M14</f>
        <v>0</v>
      </c>
    </row>
    <row r="15" spans="1:5" s="318" customFormat="1" ht="12.75" customHeight="1">
      <c r="A15" s="319" t="str">
        <f>'[12]Rozpocet'!D15</f>
        <v>22-M</v>
      </c>
      <c r="B15" s="320" t="str">
        <f>'[12]Rozpocet'!E15</f>
        <v>Montáže oznam. a zabezp. zařízení</v>
      </c>
      <c r="C15" s="321">
        <f>'[12]Rozpocet'!I15</f>
        <v>83823.6</v>
      </c>
      <c r="D15" s="322">
        <f>'[12]Rozpocet'!K15</f>
        <v>0</v>
      </c>
      <c r="E15" s="322">
        <f>'[12]Rozpocet'!M15</f>
        <v>0</v>
      </c>
    </row>
    <row r="16" spans="2:5" s="323" customFormat="1" ht="12.75" customHeight="1">
      <c r="B16" s="324" t="s">
        <v>124</v>
      </c>
      <c r="C16" s="325">
        <f>'[12]Rozpocet'!I17</f>
        <v>83823.6</v>
      </c>
      <c r="D16" s="326">
        <f>'[12]Rozpocet'!K17</f>
        <v>0</v>
      </c>
      <c r="E16" s="326">
        <f>'[12]Rozpocet'!M17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R48" sqref="R48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580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122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337" t="s">
        <v>215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1" t="s">
        <v>215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SUMIF('[13]Rozpocet'!O5:O65535,8,'[13]Rozpocet'!I5:I65535)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6420.84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SUMIF('[13]Rozpocet'!O10:O65536,4,'[13]Rozpocet'!I10:I65536)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SUMIF('[13]Rozpocet'!O11:O65536,32,'[13]Rozpocet'!I11:I65536)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SUMIF('[13]Rozpocet'!O12:O65536,16,'[13]Rozpocet'!I12:I65536)+SUMIF('[13]Rozpocet'!O12:O65536,128,'[13]Rozpocet'!I12:I65536)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SUMIF('[13]Rozpocet'!O13:O65536,256,'[13]Rozpocet'!I13:I65536)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SUMIF('[13]Rozpocet'!O14:O65536,64,'[13]Rozpocet'!I14:I65536)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SUMIF('[13]Rozpocet'!O14:O65536,1024,'[13]Rozpocet'!I14:I65536)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SUMIF('[13]Rozpocet'!O14:O65536,512,'[13]Rozpocet'!I14:I65536)</f>
        <v>#VALUE!</v>
      </c>
      <c r="F45" s="223"/>
      <c r="G45" s="267">
        <v>21</v>
      </c>
      <c r="H45" s="268" t="s">
        <v>193</v>
      </c>
      <c r="I45" s="270"/>
      <c r="J45" s="272">
        <v>3692.4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SUMIF('[13]Rozpocet'!O14:O65536,"&lt;4",'[13]Rozpocet'!I14:I65536)+SUMIF('[13]Rozpocet'!O14:O65536,"&gt;1024",'[13]Rozpocet'!I14:I65536)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SUMIF('[13]Rozpocet'!N14:N65536,M49,'[13]Rozpocet'!I14:I65536)+SUMIF(P38:P42,M49,R38:R42)+IF(K45=M49,J45,0)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'[13]Krycí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'[13]Krycí list'!E7</f>
        <v>SO 07 Přeložka vodovodu</v>
      </c>
      <c r="C3" s="301"/>
      <c r="D3" s="299"/>
      <c r="E3" s="302"/>
    </row>
    <row r="4" spans="1:5" ht="12" customHeight="1">
      <c r="A4" s="298" t="s">
        <v>226</v>
      </c>
      <c r="B4" s="299" t="str">
        <f>'[13]Krycí list'!E9</f>
        <v> </v>
      </c>
      <c r="C4" s="301"/>
      <c r="D4" s="299"/>
      <c r="E4" s="302"/>
    </row>
    <row r="5" spans="1:5" ht="12" customHeight="1">
      <c r="A5" s="299" t="s">
        <v>227</v>
      </c>
      <c r="B5" s="299" t="str">
        <f>'[13]Krycí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'[13]Krycí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'[13]Krycí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581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'[13]Rozpocet'!D14</f>
        <v>HSV</v>
      </c>
      <c r="B14" s="315" t="str">
        <f>'[13]Rozpocet'!E14</f>
        <v>Práce a dodávky HSV</v>
      </c>
      <c r="C14" s="316">
        <f>'[13]Rozpocet'!I14</f>
        <v>267534.88</v>
      </c>
      <c r="D14" s="317">
        <f>'[13]Rozpocet'!K14</f>
        <v>47.88550408</v>
      </c>
      <c r="E14" s="317">
        <f>'[13]Rozpocet'!M14</f>
        <v>16.91904</v>
      </c>
    </row>
    <row r="15" spans="1:5" s="318" customFormat="1" ht="12.75" customHeight="1">
      <c r="A15" s="319" t="str">
        <f>'[13]Rozpocet'!D15</f>
        <v>1</v>
      </c>
      <c r="B15" s="320" t="str">
        <f>'[13]Rozpocet'!E15</f>
        <v>Zemní práce</v>
      </c>
      <c r="C15" s="321">
        <f>'[13]Rozpocet'!I15</f>
        <v>129475.98999999998</v>
      </c>
      <c r="D15" s="322">
        <f>'[13]Rozpocet'!K15</f>
        <v>32.2706848</v>
      </c>
      <c r="E15" s="322">
        <f>'[13]Rozpocet'!M15</f>
        <v>16.91904</v>
      </c>
    </row>
    <row r="16" spans="1:5" s="318" customFormat="1" ht="12.75" customHeight="1">
      <c r="A16" s="319" t="str">
        <f>'[13]Rozpocet'!D37</f>
        <v>2</v>
      </c>
      <c r="B16" s="320" t="str">
        <f>'[13]Rozpocet'!E37</f>
        <v>Zakládání</v>
      </c>
      <c r="C16" s="321">
        <f>'[13]Rozpocet'!I37</f>
        <v>6571.2</v>
      </c>
      <c r="D16" s="322">
        <f>'[13]Rozpocet'!K37</f>
        <v>10.059707999999999</v>
      </c>
      <c r="E16" s="322">
        <f>'[13]Rozpocet'!M37</f>
        <v>0</v>
      </c>
    </row>
    <row r="17" spans="1:5" s="318" customFormat="1" ht="12.75" customHeight="1">
      <c r="A17" s="319" t="str">
        <f>'[13]Rozpocet'!D39</f>
        <v>4</v>
      </c>
      <c r="B17" s="320" t="str">
        <f>'[13]Rozpocet'!E39</f>
        <v>Vodorovné konstrukce</v>
      </c>
      <c r="C17" s="321">
        <f>'[13]Rozpocet'!I39</f>
        <v>13704.04</v>
      </c>
      <c r="D17" s="322">
        <f>'[13]Rozpocet'!K39</f>
        <v>5.037011280000001</v>
      </c>
      <c r="E17" s="322">
        <f>'[13]Rozpocet'!M39</f>
        <v>0</v>
      </c>
    </row>
    <row r="18" spans="1:5" s="318" customFormat="1" ht="12.75" customHeight="1">
      <c r="A18" s="319" t="str">
        <f>'[13]Rozpocet'!D42</f>
        <v>5</v>
      </c>
      <c r="B18" s="320" t="str">
        <f>'[13]Rozpocet'!E42</f>
        <v>Komunikace</v>
      </c>
      <c r="C18" s="321">
        <f>'[13]Rozpocet'!I42</f>
        <v>34167.119999999995</v>
      </c>
      <c r="D18" s="322">
        <f>'[13]Rozpocet'!K42</f>
        <v>0.17567999999999998</v>
      </c>
      <c r="E18" s="322">
        <f>'[13]Rozpocet'!M42</f>
        <v>0</v>
      </c>
    </row>
    <row r="19" spans="1:5" s="318" customFormat="1" ht="12.75" customHeight="1">
      <c r="A19" s="319" t="str">
        <f>'[13]Rozpocet'!D48</f>
        <v>8</v>
      </c>
      <c r="B19" s="320" t="str">
        <f>'[13]Rozpocet'!E48</f>
        <v>Trubní vedení</v>
      </c>
      <c r="C19" s="321">
        <f>'[13]Rozpocet'!I48</f>
        <v>64474.920000000006</v>
      </c>
      <c r="D19" s="322">
        <f>'[13]Rozpocet'!K48</f>
        <v>0.34242</v>
      </c>
      <c r="E19" s="322">
        <f>'[13]Rozpocet'!M48</f>
        <v>0</v>
      </c>
    </row>
    <row r="20" spans="1:5" s="318" customFormat="1" ht="12.75" customHeight="1">
      <c r="A20" s="319" t="str">
        <f>'[13]Rozpocet'!D80</f>
        <v>9</v>
      </c>
      <c r="B20" s="320" t="str">
        <f>'[13]Rozpocet'!E80</f>
        <v>Ostatní konstrukce a práce-bourání</v>
      </c>
      <c r="C20" s="321">
        <f>'[13]Rozpocet'!I80</f>
        <v>11575.619999999999</v>
      </c>
      <c r="D20" s="322">
        <f>'[13]Rozpocet'!K80</f>
        <v>0</v>
      </c>
      <c r="E20" s="322">
        <f>'[13]Rozpocet'!M80</f>
        <v>0</v>
      </c>
    </row>
    <row r="21" spans="1:5" s="318" customFormat="1" ht="12.75" customHeight="1">
      <c r="A21" s="319" t="str">
        <f>'[13]Rozpocet'!D85</f>
        <v>99</v>
      </c>
      <c r="B21" s="320" t="str">
        <f>'[13]Rozpocet'!E85</f>
        <v>Přesun hmot</v>
      </c>
      <c r="C21" s="321">
        <f>'[13]Rozpocet'!I85</f>
        <v>7565.99</v>
      </c>
      <c r="D21" s="322">
        <f>'[13]Rozpocet'!K85</f>
        <v>0</v>
      </c>
      <c r="E21" s="322">
        <f>'[13]Rozpocet'!M85</f>
        <v>0</v>
      </c>
    </row>
    <row r="22" spans="2:5" s="323" customFormat="1" ht="12.75" customHeight="1">
      <c r="B22" s="324" t="s">
        <v>124</v>
      </c>
      <c r="C22" s="325">
        <f>'[13]Rozpocet'!I87</f>
        <v>267534.88</v>
      </c>
      <c r="D22" s="326">
        <f>'[13]Rozpocet'!K87</f>
        <v>47.88550408</v>
      </c>
      <c r="E22" s="326">
        <f>'[13]Rozpocet'!M87</f>
        <v>16.91904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view="pageBreakPreview" zoomScaleSheetLayoutView="100" zoomScalePageLayoutView="0" workbookViewId="0" topLeftCell="A1">
      <pane ySplit="13" topLeftCell="A20" activePane="bottomLeft" state="frozen"/>
      <selection pane="topLeft" activeCell="A36" sqref="A36:IV36"/>
      <selection pane="bottomLeft" activeCell="A36" sqref="A36:IV36"/>
    </sheetView>
  </sheetViews>
  <sheetFormatPr defaultColWidth="9.140625" defaultRowHeight="11.25" customHeight="1"/>
  <cols>
    <col min="1" max="1" width="9.574218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5.7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'[13]Krycí list'!E7</f>
        <v>SO 07 Přeložka vodovodu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'[13]Krycí list'!E9</f>
        <v> 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'[13]Krycí list'!P5</f>
        <v> 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29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29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H15+H37+H39+H42+H48+H80+H85</f>
        <v>0</v>
      </c>
      <c r="I14" s="446"/>
      <c r="J14" s="448" t="e">
        <f>J15+#REF!+J29+#REF!+#REF!+J51+J56</f>
        <v>#REF!</v>
      </c>
      <c r="K14" s="446"/>
      <c r="L14" s="448" t="e">
        <f>L15+#REF!+L29+#REF!+#REF!+L51+L56</f>
        <v>#REF!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SUM(H16:H36)</f>
        <v>0</v>
      </c>
      <c r="I15" s="446"/>
      <c r="J15" s="448">
        <f>SUM(J16:J27)</f>
        <v>125.87694319999999</v>
      </c>
      <c r="K15" s="446"/>
      <c r="L15" s="448">
        <f>SUM(L16:L27)</f>
        <v>6.1855199999999995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14</v>
      </c>
      <c r="C16" s="419" t="s">
        <v>943</v>
      </c>
      <c r="D16" s="451" t="s">
        <v>582</v>
      </c>
      <c r="E16" s="400" t="s">
        <v>247</v>
      </c>
      <c r="F16" s="401">
        <v>17.04</v>
      </c>
      <c r="G16" s="402"/>
      <c r="H16" s="402">
        <f aca="true" t="shared" si="0" ref="H16:H36">ROUND(F16*G16,2)</f>
        <v>0</v>
      </c>
      <c r="I16" s="449">
        <v>0</v>
      </c>
      <c r="J16" s="401">
        <f aca="true" t="shared" si="1" ref="J16:J27">F16*I16</f>
        <v>0</v>
      </c>
      <c r="K16" s="449">
        <v>0.235</v>
      </c>
      <c r="L16" s="401">
        <f aca="true" t="shared" si="2" ref="L16:L27">F16*K16</f>
        <v>4.0043999999999995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3">
        <v>14</v>
      </c>
      <c r="C17" s="419" t="s">
        <v>944</v>
      </c>
      <c r="D17" s="451" t="s">
        <v>583</v>
      </c>
      <c r="E17" s="400" t="s">
        <v>247</v>
      </c>
      <c r="F17" s="401">
        <v>17.04</v>
      </c>
      <c r="G17" s="402"/>
      <c r="H17" s="402">
        <f t="shared" si="0"/>
        <v>0</v>
      </c>
      <c r="I17" s="449">
        <v>1E-05</v>
      </c>
      <c r="J17" s="401">
        <f t="shared" si="1"/>
        <v>0.0001704</v>
      </c>
      <c r="K17" s="449">
        <v>0.128</v>
      </c>
      <c r="L17" s="401">
        <f t="shared" si="2"/>
        <v>2.18112</v>
      </c>
      <c r="M17" s="450">
        <f aca="true" t="shared" si="3" ref="M17:M36"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14</v>
      </c>
      <c r="C18" s="419" t="s">
        <v>945</v>
      </c>
      <c r="D18" s="451" t="s">
        <v>584</v>
      </c>
      <c r="E18" s="400" t="s">
        <v>247</v>
      </c>
      <c r="F18" s="401">
        <v>76.8</v>
      </c>
      <c r="G18" s="402"/>
      <c r="H18" s="402">
        <f t="shared" si="0"/>
        <v>0</v>
      </c>
      <c r="I18" s="449">
        <v>4E-05</v>
      </c>
      <c r="J18" s="401">
        <f t="shared" si="1"/>
        <v>0.003072</v>
      </c>
      <c r="K18" s="449">
        <v>0</v>
      </c>
      <c r="L18" s="401">
        <f t="shared" si="2"/>
        <v>0</v>
      </c>
      <c r="M18" s="450">
        <f t="shared" si="3"/>
        <v>21</v>
      </c>
      <c r="N18" s="334">
        <v>4</v>
      </c>
      <c r="O18" s="196" t="s">
        <v>161</v>
      </c>
    </row>
    <row r="19" spans="1:15" s="196" customFormat="1" ht="13.5" customHeight="1">
      <c r="A19" s="400" t="s">
        <v>173</v>
      </c>
      <c r="B19" s="408">
        <v>14</v>
      </c>
      <c r="C19" s="419" t="s">
        <v>761</v>
      </c>
      <c r="D19" s="451" t="s">
        <v>251</v>
      </c>
      <c r="E19" s="400" t="s">
        <v>252</v>
      </c>
      <c r="F19" s="401">
        <v>168</v>
      </c>
      <c r="G19" s="402"/>
      <c r="H19" s="402">
        <f t="shared" si="0"/>
        <v>0</v>
      </c>
      <c r="I19" s="449">
        <v>0.00868</v>
      </c>
      <c r="J19" s="401">
        <f t="shared" si="1"/>
        <v>1.45824</v>
      </c>
      <c r="K19" s="449">
        <v>0</v>
      </c>
      <c r="L19" s="401">
        <f t="shared" si="2"/>
        <v>0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14</v>
      </c>
      <c r="C20" s="419" t="s">
        <v>762</v>
      </c>
      <c r="D20" s="451" t="s">
        <v>253</v>
      </c>
      <c r="E20" s="400" t="s">
        <v>254</v>
      </c>
      <c r="F20" s="401">
        <v>7</v>
      </c>
      <c r="G20" s="402"/>
      <c r="H20" s="402">
        <f t="shared" si="0"/>
        <v>0</v>
      </c>
      <c r="I20" s="449">
        <v>0</v>
      </c>
      <c r="J20" s="401">
        <f t="shared" si="1"/>
        <v>0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3">
        <v>14</v>
      </c>
      <c r="C21" s="419" t="s">
        <v>763</v>
      </c>
      <c r="D21" s="451" t="s">
        <v>255</v>
      </c>
      <c r="E21" s="400" t="s">
        <v>256</v>
      </c>
      <c r="F21" s="401">
        <v>1.2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3">
        <v>14</v>
      </c>
      <c r="C22" s="419" t="s">
        <v>765</v>
      </c>
      <c r="D22" s="451" t="s">
        <v>351</v>
      </c>
      <c r="E22" s="400" t="s">
        <v>258</v>
      </c>
      <c r="F22" s="401">
        <v>1.92</v>
      </c>
      <c r="G22" s="402"/>
      <c r="H22" s="402">
        <f t="shared" si="0"/>
        <v>0</v>
      </c>
      <c r="I22" s="449">
        <v>0</v>
      </c>
      <c r="J22" s="401">
        <f t="shared" si="1"/>
        <v>0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3">
        <v>14</v>
      </c>
      <c r="C23" s="419" t="s">
        <v>946</v>
      </c>
      <c r="D23" s="451" t="s">
        <v>585</v>
      </c>
      <c r="E23" s="400" t="s">
        <v>258</v>
      </c>
      <c r="F23" s="401">
        <v>28.901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3">
        <v>14</v>
      </c>
      <c r="C24" s="419" t="s">
        <v>767</v>
      </c>
      <c r="D24" s="451" t="s">
        <v>259</v>
      </c>
      <c r="E24" s="400" t="s">
        <v>258</v>
      </c>
      <c r="F24" s="401">
        <v>28.901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169</v>
      </c>
      <c r="B25" s="408">
        <v>14</v>
      </c>
      <c r="C25" s="419" t="s">
        <v>878</v>
      </c>
      <c r="D25" s="451" t="s">
        <v>504</v>
      </c>
      <c r="E25" s="400" t="s">
        <v>247</v>
      </c>
      <c r="F25" s="401">
        <v>124.32</v>
      </c>
      <c r="G25" s="402"/>
      <c r="H25" s="402">
        <f t="shared" si="0"/>
        <v>0</v>
      </c>
      <c r="I25" s="449">
        <v>1</v>
      </c>
      <c r="J25" s="401">
        <f t="shared" si="1"/>
        <v>124.32</v>
      </c>
      <c r="K25" s="449">
        <v>0</v>
      </c>
      <c r="L25" s="401">
        <f t="shared" si="2"/>
        <v>0</v>
      </c>
      <c r="M25" s="450">
        <f t="shared" si="3"/>
        <v>21</v>
      </c>
      <c r="N25" s="336">
        <v>8</v>
      </c>
      <c r="O25" s="335" t="s">
        <v>161</v>
      </c>
    </row>
    <row r="26" spans="1:15" s="196" customFormat="1" ht="13.5" customHeight="1">
      <c r="A26" s="400" t="s">
        <v>174</v>
      </c>
      <c r="B26" s="408">
        <v>14</v>
      </c>
      <c r="C26" s="419" t="s">
        <v>879</v>
      </c>
      <c r="D26" s="451" t="s">
        <v>505</v>
      </c>
      <c r="E26" s="400" t="s">
        <v>247</v>
      </c>
      <c r="F26" s="401">
        <v>124.32</v>
      </c>
      <c r="G26" s="402"/>
      <c r="H26" s="402">
        <f t="shared" si="0"/>
        <v>0</v>
      </c>
      <c r="I26" s="449">
        <v>0.00064</v>
      </c>
      <c r="J26" s="401">
        <f t="shared" si="1"/>
        <v>0.0795648</v>
      </c>
      <c r="K26" s="449">
        <v>0</v>
      </c>
      <c r="L26" s="401">
        <f t="shared" si="2"/>
        <v>0</v>
      </c>
      <c r="M26" s="450">
        <f t="shared" si="3"/>
        <v>21</v>
      </c>
      <c r="N26" s="334">
        <v>4</v>
      </c>
      <c r="O26" s="196" t="s">
        <v>161</v>
      </c>
    </row>
    <row r="27" spans="1:15" s="196" customFormat="1" ht="13.5" customHeight="1">
      <c r="A27" s="400" t="s">
        <v>186</v>
      </c>
      <c r="B27" s="403">
        <v>14</v>
      </c>
      <c r="C27" s="419" t="s">
        <v>770</v>
      </c>
      <c r="D27" s="451" t="s">
        <v>262</v>
      </c>
      <c r="E27" s="400" t="s">
        <v>258</v>
      </c>
      <c r="F27" s="401">
        <v>15.896</v>
      </c>
      <c r="G27" s="402"/>
      <c r="H27" s="402">
        <f t="shared" si="0"/>
        <v>0</v>
      </c>
      <c r="I27" s="449">
        <v>0.001</v>
      </c>
      <c r="J27" s="401">
        <f t="shared" si="1"/>
        <v>0.015896</v>
      </c>
      <c r="K27" s="449">
        <v>0</v>
      </c>
      <c r="L27" s="401">
        <f t="shared" si="2"/>
        <v>0</v>
      </c>
      <c r="M27" s="450">
        <f t="shared" si="3"/>
        <v>21</v>
      </c>
      <c r="N27" s="336">
        <v>8</v>
      </c>
      <c r="O27" s="335" t="s">
        <v>161</v>
      </c>
    </row>
    <row r="28" spans="1:15" s="196" customFormat="1" ht="24.75" customHeight="1">
      <c r="A28" s="400" t="s">
        <v>159</v>
      </c>
      <c r="B28" s="408">
        <v>14</v>
      </c>
      <c r="C28" s="419" t="s">
        <v>771</v>
      </c>
      <c r="D28" s="451" t="s">
        <v>586</v>
      </c>
      <c r="E28" s="400" t="s">
        <v>258</v>
      </c>
      <c r="F28" s="401">
        <v>21.817</v>
      </c>
      <c r="G28" s="402"/>
      <c r="H28" s="402">
        <f t="shared" si="0"/>
        <v>0</v>
      </c>
      <c r="I28" s="449">
        <v>0.22657</v>
      </c>
      <c r="J28" s="401">
        <f>F28*I28</f>
        <v>4.94307769</v>
      </c>
      <c r="K28" s="449">
        <v>0</v>
      </c>
      <c r="L28" s="401">
        <f>F28*K28</f>
        <v>0</v>
      </c>
      <c r="M28" s="450">
        <f t="shared" si="3"/>
        <v>21</v>
      </c>
      <c r="N28" s="334">
        <v>4</v>
      </c>
      <c r="O28" s="196" t="s">
        <v>161</v>
      </c>
    </row>
    <row r="29" spans="1:15" s="318" customFormat="1" ht="13.5" customHeight="1">
      <c r="A29" s="400" t="s">
        <v>165</v>
      </c>
      <c r="B29" s="403">
        <v>14</v>
      </c>
      <c r="C29" s="419" t="s">
        <v>772</v>
      </c>
      <c r="D29" s="451" t="s">
        <v>264</v>
      </c>
      <c r="E29" s="400" t="s">
        <v>258</v>
      </c>
      <c r="F29" s="401">
        <v>21.817</v>
      </c>
      <c r="G29" s="402"/>
      <c r="H29" s="402">
        <f t="shared" si="0"/>
        <v>0</v>
      </c>
      <c r="I29" s="446"/>
      <c r="J29" s="448" t="e">
        <f>SUM(#REF!)</f>
        <v>#REF!</v>
      </c>
      <c r="K29" s="446"/>
      <c r="L29" s="448" t="e">
        <f>SUM(#REF!)</f>
        <v>#REF!</v>
      </c>
      <c r="M29" s="450">
        <f t="shared" si="3"/>
        <v>21</v>
      </c>
      <c r="O29" s="320" t="s">
        <v>154</v>
      </c>
    </row>
    <row r="30" spans="1:15" s="196" customFormat="1" ht="13.5" customHeight="1">
      <c r="A30" s="400" t="s">
        <v>171</v>
      </c>
      <c r="B30" s="408">
        <v>14</v>
      </c>
      <c r="C30" s="419" t="s">
        <v>774</v>
      </c>
      <c r="D30" s="451" t="s">
        <v>265</v>
      </c>
      <c r="E30" s="400" t="s">
        <v>258</v>
      </c>
      <c r="F30" s="401">
        <v>15.847</v>
      </c>
      <c r="G30" s="402"/>
      <c r="H30" s="402">
        <f t="shared" si="0"/>
        <v>0</v>
      </c>
      <c r="I30" s="449">
        <v>0.0036</v>
      </c>
      <c r="J30" s="401">
        <f>F30*I30</f>
        <v>0.057049199999999994</v>
      </c>
      <c r="K30" s="449">
        <v>0</v>
      </c>
      <c r="L30" s="401">
        <f>F30*K30</f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03">
        <v>14</v>
      </c>
      <c r="C31" s="419" t="s">
        <v>775</v>
      </c>
      <c r="D31" s="451" t="s">
        <v>267</v>
      </c>
      <c r="E31" s="400" t="s">
        <v>268</v>
      </c>
      <c r="F31" s="401">
        <v>12.644</v>
      </c>
      <c r="G31" s="402"/>
      <c r="H31" s="402">
        <f t="shared" si="0"/>
        <v>0</v>
      </c>
      <c r="I31" s="449">
        <v>3E-05</v>
      </c>
      <c r="J31" s="401">
        <f aca="true" t="shared" si="4" ref="J31:J50">F31*I31</f>
        <v>0.00037932</v>
      </c>
      <c r="K31" s="449">
        <v>0</v>
      </c>
      <c r="L31" s="401">
        <f aca="true" t="shared" si="5" ref="L31:L50">F31*K31</f>
        <v>0</v>
      </c>
      <c r="M31" s="450">
        <f t="shared" si="3"/>
        <v>21</v>
      </c>
      <c r="N31" s="334">
        <v>4</v>
      </c>
      <c r="O31" s="196" t="s">
        <v>161</v>
      </c>
    </row>
    <row r="32" spans="1:15" s="196" customFormat="1" ht="24.75" customHeight="1">
      <c r="A32" s="400" t="s">
        <v>179</v>
      </c>
      <c r="B32" s="408">
        <v>14</v>
      </c>
      <c r="C32" s="419" t="s">
        <v>800</v>
      </c>
      <c r="D32" s="451" t="s">
        <v>269</v>
      </c>
      <c r="E32" s="400" t="s">
        <v>258</v>
      </c>
      <c r="F32" s="401">
        <v>10.107</v>
      </c>
      <c r="G32" s="402"/>
      <c r="H32" s="402">
        <f t="shared" si="0"/>
        <v>0</v>
      </c>
      <c r="I32" s="449">
        <v>0.00011</v>
      </c>
      <c r="J32" s="401">
        <f t="shared" si="4"/>
        <v>0.00111177</v>
      </c>
      <c r="K32" s="449">
        <v>0</v>
      </c>
      <c r="L32" s="401">
        <f t="shared" si="5"/>
        <v>0</v>
      </c>
      <c r="M32" s="450">
        <f t="shared" si="3"/>
        <v>21</v>
      </c>
      <c r="N32" s="334">
        <v>4</v>
      </c>
      <c r="O32" s="196" t="s">
        <v>161</v>
      </c>
    </row>
    <row r="33" spans="1:15" s="196" customFormat="1" ht="13.5" customHeight="1">
      <c r="A33" s="400" t="s">
        <v>182</v>
      </c>
      <c r="B33" s="403">
        <v>14</v>
      </c>
      <c r="C33" s="419" t="s">
        <v>801</v>
      </c>
      <c r="D33" s="451" t="s">
        <v>270</v>
      </c>
      <c r="E33" s="400" t="s">
        <v>268</v>
      </c>
      <c r="F33" s="401">
        <v>19.355</v>
      </c>
      <c r="G33" s="402"/>
      <c r="H33" s="402">
        <f t="shared" si="0"/>
        <v>0</v>
      </c>
      <c r="I33" s="449">
        <v>0</v>
      </c>
      <c r="J33" s="401">
        <f t="shared" si="4"/>
        <v>0</v>
      </c>
      <c r="K33" s="449">
        <v>0</v>
      </c>
      <c r="L33" s="401">
        <f t="shared" si="5"/>
        <v>0</v>
      </c>
      <c r="M33" s="450">
        <f t="shared" si="3"/>
        <v>21</v>
      </c>
      <c r="N33" s="334">
        <v>4</v>
      </c>
      <c r="O33" s="196" t="s">
        <v>161</v>
      </c>
    </row>
    <row r="34" spans="1:15" s="196" customFormat="1" ht="24.75" customHeight="1">
      <c r="A34" s="400" t="s">
        <v>188</v>
      </c>
      <c r="B34" s="408">
        <v>14</v>
      </c>
      <c r="C34" s="419" t="s">
        <v>776</v>
      </c>
      <c r="D34" s="451" t="s">
        <v>354</v>
      </c>
      <c r="E34" s="400" t="s">
        <v>247</v>
      </c>
      <c r="F34" s="401">
        <v>9.6</v>
      </c>
      <c r="G34" s="402"/>
      <c r="H34" s="402">
        <f t="shared" si="0"/>
        <v>0</v>
      </c>
      <c r="I34" s="449">
        <v>0</v>
      </c>
      <c r="J34" s="401">
        <f t="shared" si="4"/>
        <v>0</v>
      </c>
      <c r="K34" s="449">
        <v>0</v>
      </c>
      <c r="L34" s="401">
        <f t="shared" si="5"/>
        <v>0</v>
      </c>
      <c r="M34" s="450">
        <f t="shared" si="3"/>
        <v>21</v>
      </c>
      <c r="N34" s="336">
        <v>8</v>
      </c>
      <c r="O34" s="335" t="s">
        <v>161</v>
      </c>
    </row>
    <row r="35" spans="1:15" s="196" customFormat="1" ht="13.5" customHeight="1">
      <c r="A35" s="400" t="s">
        <v>190</v>
      </c>
      <c r="B35" s="403">
        <v>14</v>
      </c>
      <c r="C35" s="419" t="s">
        <v>778</v>
      </c>
      <c r="D35" s="451" t="s">
        <v>355</v>
      </c>
      <c r="E35" s="400" t="s">
        <v>247</v>
      </c>
      <c r="F35" s="401">
        <v>9.6</v>
      </c>
      <c r="G35" s="402"/>
      <c r="H35" s="402">
        <f t="shared" si="0"/>
        <v>0</v>
      </c>
      <c r="I35" s="449">
        <v>0</v>
      </c>
      <c r="J35" s="401">
        <f t="shared" si="4"/>
        <v>0</v>
      </c>
      <c r="K35" s="449">
        <v>0</v>
      </c>
      <c r="L35" s="401">
        <f t="shared" si="5"/>
        <v>0</v>
      </c>
      <c r="M35" s="450">
        <f t="shared" si="3"/>
        <v>21</v>
      </c>
      <c r="N35" s="336">
        <v>8</v>
      </c>
      <c r="O35" s="335" t="s">
        <v>161</v>
      </c>
    </row>
    <row r="36" spans="1:15" s="196" customFormat="1" ht="13.5" customHeight="1">
      <c r="A36" s="400" t="s">
        <v>192</v>
      </c>
      <c r="B36" s="408">
        <v>14</v>
      </c>
      <c r="C36" s="419" t="s">
        <v>779</v>
      </c>
      <c r="D36" s="451" t="s">
        <v>356</v>
      </c>
      <c r="E36" s="400" t="s">
        <v>357</v>
      </c>
      <c r="F36" s="401">
        <v>0.24</v>
      </c>
      <c r="G36" s="402"/>
      <c r="H36" s="402">
        <f t="shared" si="0"/>
        <v>0</v>
      </c>
      <c r="I36" s="449">
        <v>0</v>
      </c>
      <c r="J36" s="401">
        <f t="shared" si="4"/>
        <v>0</v>
      </c>
      <c r="K36" s="449">
        <v>0</v>
      </c>
      <c r="L36" s="401">
        <f t="shared" si="5"/>
        <v>0</v>
      </c>
      <c r="M36" s="450">
        <f t="shared" si="3"/>
        <v>21</v>
      </c>
      <c r="N36" s="336">
        <v>8</v>
      </c>
      <c r="O36" s="335" t="s">
        <v>161</v>
      </c>
    </row>
    <row r="37" spans="1:15" s="196" customFormat="1" ht="13.5" customHeight="1">
      <c r="A37" s="446"/>
      <c r="B37" s="408"/>
      <c r="C37" s="446" t="s">
        <v>161</v>
      </c>
      <c r="D37" s="446" t="s">
        <v>271</v>
      </c>
      <c r="E37" s="446"/>
      <c r="F37" s="446"/>
      <c r="G37" s="446"/>
      <c r="H37" s="447">
        <f>H38</f>
        <v>0</v>
      </c>
      <c r="I37" s="449">
        <v>0.00823</v>
      </c>
      <c r="J37" s="401">
        <f t="shared" si="4"/>
        <v>0</v>
      </c>
      <c r="K37" s="449">
        <v>0</v>
      </c>
      <c r="L37" s="401">
        <f t="shared" si="5"/>
        <v>0</v>
      </c>
      <c r="M37" s="450"/>
      <c r="N37" s="334">
        <v>4</v>
      </c>
      <c r="O37" s="196" t="s">
        <v>161</v>
      </c>
    </row>
    <row r="38" spans="1:15" s="196" customFormat="1" ht="24.75" customHeight="1">
      <c r="A38" s="400" t="s">
        <v>194</v>
      </c>
      <c r="B38" s="403">
        <v>14</v>
      </c>
      <c r="C38" s="419" t="s">
        <v>853</v>
      </c>
      <c r="D38" s="451" t="s">
        <v>474</v>
      </c>
      <c r="E38" s="400" t="s">
        <v>256</v>
      </c>
      <c r="F38" s="401">
        <v>44.4</v>
      </c>
      <c r="G38" s="402"/>
      <c r="H38" s="402">
        <f>ROUND(F38*G38,2)</f>
        <v>0</v>
      </c>
      <c r="I38" s="449">
        <v>0.0008</v>
      </c>
      <c r="J38" s="401">
        <f t="shared" si="4"/>
        <v>0.03552</v>
      </c>
      <c r="K38" s="449">
        <v>0</v>
      </c>
      <c r="L38" s="401">
        <f t="shared" si="5"/>
        <v>0</v>
      </c>
      <c r="M38" s="450">
        <f>$M$16</f>
        <v>21</v>
      </c>
      <c r="N38" s="334">
        <v>4</v>
      </c>
      <c r="O38" s="196" t="s">
        <v>161</v>
      </c>
    </row>
    <row r="39" spans="1:15" s="196" customFormat="1" ht="13.5" customHeight="1">
      <c r="A39" s="446"/>
      <c r="B39" s="408"/>
      <c r="C39" s="446" t="s">
        <v>173</v>
      </c>
      <c r="D39" s="446" t="s">
        <v>275</v>
      </c>
      <c r="E39" s="446"/>
      <c r="F39" s="446"/>
      <c r="G39" s="446"/>
      <c r="H39" s="447">
        <f>SUM(H40:H41)</f>
        <v>0</v>
      </c>
      <c r="I39" s="449">
        <v>0</v>
      </c>
      <c r="J39" s="401">
        <f t="shared" si="4"/>
        <v>0</v>
      </c>
      <c r="K39" s="449">
        <v>0</v>
      </c>
      <c r="L39" s="401">
        <f t="shared" si="5"/>
        <v>0</v>
      </c>
      <c r="M39" s="450"/>
      <c r="N39" s="336">
        <v>8</v>
      </c>
      <c r="O39" s="335" t="s">
        <v>161</v>
      </c>
    </row>
    <row r="40" spans="1:15" s="196" customFormat="1" ht="13.5" customHeight="1">
      <c r="A40" s="400" t="s">
        <v>198</v>
      </c>
      <c r="B40" s="403">
        <v>14</v>
      </c>
      <c r="C40" s="419" t="s">
        <v>947</v>
      </c>
      <c r="D40" s="451" t="s">
        <v>587</v>
      </c>
      <c r="E40" s="400" t="s">
        <v>258</v>
      </c>
      <c r="F40" s="401">
        <v>2.664</v>
      </c>
      <c r="G40" s="402"/>
      <c r="H40" s="402">
        <f>ROUND(F40*G40,2)</f>
        <v>0</v>
      </c>
      <c r="I40" s="449">
        <v>0</v>
      </c>
      <c r="J40" s="401">
        <f t="shared" si="4"/>
        <v>0</v>
      </c>
      <c r="K40" s="449">
        <v>0</v>
      </c>
      <c r="L40" s="401">
        <f t="shared" si="5"/>
        <v>0</v>
      </c>
      <c r="M40" s="450">
        <f>$M$16</f>
        <v>21</v>
      </c>
      <c r="N40" s="336">
        <v>8</v>
      </c>
      <c r="O40" s="335" t="s">
        <v>161</v>
      </c>
    </row>
    <row r="41" spans="1:15" s="196" customFormat="1" ht="13.5" customHeight="1">
      <c r="A41" s="400" t="s">
        <v>202</v>
      </c>
      <c r="B41" s="403">
        <v>14</v>
      </c>
      <c r="C41" s="419" t="s">
        <v>948</v>
      </c>
      <c r="D41" s="451" t="s">
        <v>588</v>
      </c>
      <c r="E41" s="400" t="s">
        <v>258</v>
      </c>
      <c r="F41" s="401">
        <v>4</v>
      </c>
      <c r="G41" s="402"/>
      <c r="H41" s="402">
        <f>ROUND(F41*G41,2)</f>
        <v>0</v>
      </c>
      <c r="I41" s="449">
        <v>0</v>
      </c>
      <c r="J41" s="401">
        <f t="shared" si="4"/>
        <v>0</v>
      </c>
      <c r="K41" s="449">
        <v>0</v>
      </c>
      <c r="L41" s="401">
        <f t="shared" si="5"/>
        <v>0</v>
      </c>
      <c r="M41" s="450">
        <f>$M$16</f>
        <v>21</v>
      </c>
      <c r="N41" s="336">
        <v>8</v>
      </c>
      <c r="O41" s="335" t="s">
        <v>161</v>
      </c>
    </row>
    <row r="42" spans="1:15" s="196" customFormat="1" ht="13.5" customHeight="1">
      <c r="A42" s="446"/>
      <c r="B42" s="408"/>
      <c r="C42" s="446" t="s">
        <v>177</v>
      </c>
      <c r="D42" s="446" t="s">
        <v>279</v>
      </c>
      <c r="E42" s="446"/>
      <c r="F42" s="446"/>
      <c r="G42" s="446"/>
      <c r="H42" s="447">
        <f>SUM(H43:H47)</f>
        <v>0</v>
      </c>
      <c r="I42" s="449">
        <v>0</v>
      </c>
      <c r="J42" s="401">
        <f t="shared" si="4"/>
        <v>0</v>
      </c>
      <c r="K42" s="449">
        <v>0</v>
      </c>
      <c r="L42" s="401">
        <f t="shared" si="5"/>
        <v>0</v>
      </c>
      <c r="M42" s="450"/>
      <c r="N42" s="336">
        <v>8</v>
      </c>
      <c r="O42" s="335" t="s">
        <v>161</v>
      </c>
    </row>
    <row r="43" spans="1:15" s="196" customFormat="1" ht="13.5" customHeight="1">
      <c r="A43" s="400" t="s">
        <v>204</v>
      </c>
      <c r="B43" s="403">
        <v>14</v>
      </c>
      <c r="C43" s="419" t="s">
        <v>723</v>
      </c>
      <c r="D43" s="451" t="s">
        <v>280</v>
      </c>
      <c r="E43" s="400" t="s">
        <v>247</v>
      </c>
      <c r="F43" s="401">
        <v>17.04</v>
      </c>
      <c r="G43" s="402"/>
      <c r="H43" s="402">
        <f>ROUND(F43*G43,2)</f>
        <v>0</v>
      </c>
      <c r="I43" s="449">
        <v>0</v>
      </c>
      <c r="J43" s="401">
        <f t="shared" si="4"/>
        <v>0</v>
      </c>
      <c r="K43" s="449">
        <v>0</v>
      </c>
      <c r="L43" s="401">
        <f t="shared" si="5"/>
        <v>0</v>
      </c>
      <c r="M43" s="450">
        <f>$M$16</f>
        <v>21</v>
      </c>
      <c r="N43" s="334">
        <v>4</v>
      </c>
      <c r="O43" s="196" t="s">
        <v>161</v>
      </c>
    </row>
    <row r="44" spans="1:15" s="196" customFormat="1" ht="23.25" customHeight="1">
      <c r="A44" s="400" t="s">
        <v>205</v>
      </c>
      <c r="B44" s="403">
        <v>14</v>
      </c>
      <c r="C44" s="419" t="s">
        <v>724</v>
      </c>
      <c r="D44" s="451" t="s">
        <v>281</v>
      </c>
      <c r="E44" s="400" t="s">
        <v>247</v>
      </c>
      <c r="F44" s="401">
        <v>17.04</v>
      </c>
      <c r="G44" s="402"/>
      <c r="H44" s="402">
        <f>ROUND(F44*G44,2)</f>
        <v>0</v>
      </c>
      <c r="I44" s="449">
        <v>0.03151</v>
      </c>
      <c r="J44" s="401">
        <f t="shared" si="4"/>
        <v>0.5369304</v>
      </c>
      <c r="K44" s="449">
        <v>0</v>
      </c>
      <c r="L44" s="401">
        <f t="shared" si="5"/>
        <v>0</v>
      </c>
      <c r="M44" s="450">
        <f>$M$16</f>
        <v>21</v>
      </c>
      <c r="N44" s="334">
        <v>4</v>
      </c>
      <c r="O44" s="196" t="s">
        <v>161</v>
      </c>
    </row>
    <row r="45" spans="1:15" s="196" customFormat="1" ht="24.75" customHeight="1">
      <c r="A45" s="400" t="s">
        <v>209</v>
      </c>
      <c r="B45" s="408">
        <v>14</v>
      </c>
      <c r="C45" s="419" t="s">
        <v>725</v>
      </c>
      <c r="D45" s="451" t="s">
        <v>282</v>
      </c>
      <c r="E45" s="400" t="s">
        <v>247</v>
      </c>
      <c r="F45" s="401">
        <v>38.4</v>
      </c>
      <c r="G45" s="402"/>
      <c r="H45" s="402">
        <f>ROUND(F45*G45,2)</f>
        <v>0</v>
      </c>
      <c r="I45" s="449">
        <v>0.05982</v>
      </c>
      <c r="J45" s="401">
        <f t="shared" si="4"/>
        <v>2.297088</v>
      </c>
      <c r="K45" s="449">
        <v>0</v>
      </c>
      <c r="L45" s="401">
        <f t="shared" si="5"/>
        <v>0</v>
      </c>
      <c r="M45" s="450">
        <f>$M$16</f>
        <v>21</v>
      </c>
      <c r="N45" s="334">
        <v>4</v>
      </c>
      <c r="O45" s="196" t="s">
        <v>161</v>
      </c>
    </row>
    <row r="46" spans="1:15" s="196" customFormat="1" ht="24.75" customHeight="1">
      <c r="A46" s="400" t="s">
        <v>211</v>
      </c>
      <c r="B46" s="408">
        <v>14</v>
      </c>
      <c r="C46" s="419" t="s">
        <v>884</v>
      </c>
      <c r="D46" s="451" t="s">
        <v>511</v>
      </c>
      <c r="E46" s="400" t="s">
        <v>247</v>
      </c>
      <c r="F46" s="401">
        <v>38.4</v>
      </c>
      <c r="G46" s="402"/>
      <c r="H46" s="402">
        <f>ROUND(F46*G46,2)</f>
        <v>0</v>
      </c>
      <c r="I46" s="449">
        <v>0.115</v>
      </c>
      <c r="J46" s="401">
        <f t="shared" si="4"/>
        <v>4.416</v>
      </c>
      <c r="K46" s="449">
        <v>0</v>
      </c>
      <c r="L46" s="401">
        <f t="shared" si="5"/>
        <v>0</v>
      </c>
      <c r="M46" s="450">
        <f>$M$16</f>
        <v>21</v>
      </c>
      <c r="N46" s="334">
        <v>4</v>
      </c>
      <c r="O46" s="196" t="s">
        <v>161</v>
      </c>
    </row>
    <row r="47" spans="1:15" s="196" customFormat="1" ht="13.5" customHeight="1">
      <c r="A47" s="400" t="s">
        <v>213</v>
      </c>
      <c r="B47" s="403">
        <v>14</v>
      </c>
      <c r="C47" s="419" t="s">
        <v>727</v>
      </c>
      <c r="D47" s="451" t="s">
        <v>284</v>
      </c>
      <c r="E47" s="400" t="s">
        <v>256</v>
      </c>
      <c r="F47" s="401">
        <v>48.8</v>
      </c>
      <c r="G47" s="402"/>
      <c r="H47" s="402">
        <f>ROUND(F47*G47,2)</f>
        <v>0</v>
      </c>
      <c r="I47" s="449">
        <v>0.018</v>
      </c>
      <c r="J47" s="401">
        <f t="shared" si="4"/>
        <v>0.8783999999999998</v>
      </c>
      <c r="K47" s="449">
        <v>0</v>
      </c>
      <c r="L47" s="401">
        <f t="shared" si="5"/>
        <v>0</v>
      </c>
      <c r="M47" s="450">
        <f>$M$16</f>
        <v>21</v>
      </c>
      <c r="N47" s="336">
        <v>8</v>
      </c>
      <c r="O47" s="335" t="s">
        <v>161</v>
      </c>
    </row>
    <row r="48" spans="1:15" s="196" customFormat="1" ht="13.5" customHeight="1">
      <c r="A48" s="446"/>
      <c r="B48" s="408"/>
      <c r="C48" s="446" t="s">
        <v>157</v>
      </c>
      <c r="D48" s="446" t="s">
        <v>285</v>
      </c>
      <c r="E48" s="446"/>
      <c r="F48" s="446"/>
      <c r="G48" s="446"/>
      <c r="H48" s="447">
        <f>SUM(H49:H79)</f>
        <v>0</v>
      </c>
      <c r="I48" s="449">
        <v>0</v>
      </c>
      <c r="J48" s="401">
        <f t="shared" si="4"/>
        <v>0</v>
      </c>
      <c r="K48" s="449">
        <v>0</v>
      </c>
      <c r="L48" s="401">
        <f t="shared" si="5"/>
        <v>0</v>
      </c>
      <c r="M48" s="450"/>
      <c r="N48" s="334">
        <v>4</v>
      </c>
      <c r="O48" s="196" t="s">
        <v>161</v>
      </c>
    </row>
    <row r="49" spans="1:15" s="196" customFormat="1" ht="24.75" customHeight="1">
      <c r="A49" s="400" t="s">
        <v>287</v>
      </c>
      <c r="B49" s="403">
        <v>14</v>
      </c>
      <c r="C49" s="419" t="s">
        <v>949</v>
      </c>
      <c r="D49" s="451" t="s">
        <v>589</v>
      </c>
      <c r="E49" s="400" t="s">
        <v>256</v>
      </c>
      <c r="F49" s="401">
        <v>4</v>
      </c>
      <c r="G49" s="402"/>
      <c r="H49" s="402">
        <f aca="true" t="shared" si="6" ref="H49:H79">ROUND(F49*G49,2)</f>
        <v>0</v>
      </c>
      <c r="I49" s="449">
        <v>0</v>
      </c>
      <c r="J49" s="401">
        <f t="shared" si="4"/>
        <v>0</v>
      </c>
      <c r="K49" s="449">
        <v>0</v>
      </c>
      <c r="L49" s="401">
        <f t="shared" si="5"/>
        <v>0</v>
      </c>
      <c r="M49" s="450">
        <f>$M$16</f>
        <v>21</v>
      </c>
      <c r="N49" s="334">
        <v>4</v>
      </c>
      <c r="O49" s="196" t="s">
        <v>161</v>
      </c>
    </row>
    <row r="50" spans="1:15" s="196" customFormat="1" ht="13.5" customHeight="1">
      <c r="A50" s="400" t="s">
        <v>289</v>
      </c>
      <c r="B50" s="408">
        <v>14</v>
      </c>
      <c r="C50" s="419" t="s">
        <v>950</v>
      </c>
      <c r="D50" s="451" t="s">
        <v>590</v>
      </c>
      <c r="E50" s="400" t="s">
        <v>256</v>
      </c>
      <c r="F50" s="401">
        <v>4</v>
      </c>
      <c r="G50" s="402"/>
      <c r="H50" s="402">
        <f t="shared" si="6"/>
        <v>0</v>
      </c>
      <c r="I50" s="449">
        <v>0</v>
      </c>
      <c r="J50" s="401">
        <f t="shared" si="4"/>
        <v>0</v>
      </c>
      <c r="K50" s="449">
        <v>0</v>
      </c>
      <c r="L50" s="401">
        <f t="shared" si="5"/>
        <v>0</v>
      </c>
      <c r="M50" s="450">
        <f>$M$16</f>
        <v>21</v>
      </c>
      <c r="N50" s="334">
        <v>4</v>
      </c>
      <c r="O50" s="196" t="s">
        <v>161</v>
      </c>
    </row>
    <row r="51" spans="1:15" s="318" customFormat="1" ht="24.75" customHeight="1">
      <c r="A51" s="400" t="s">
        <v>292</v>
      </c>
      <c r="B51" s="403">
        <v>14</v>
      </c>
      <c r="C51" s="419" t="s">
        <v>951</v>
      </c>
      <c r="D51" s="451" t="s">
        <v>591</v>
      </c>
      <c r="E51" s="400" t="s">
        <v>256</v>
      </c>
      <c r="F51" s="401">
        <v>48</v>
      </c>
      <c r="G51" s="402"/>
      <c r="H51" s="402">
        <f t="shared" si="6"/>
        <v>0</v>
      </c>
      <c r="I51" s="446"/>
      <c r="J51" s="448">
        <f>SUM(J52:J55)</f>
        <v>0</v>
      </c>
      <c r="K51" s="446"/>
      <c r="L51" s="448">
        <f>SUM(L52:L55)</f>
        <v>0</v>
      </c>
      <c r="M51" s="450">
        <f>$M$16</f>
        <v>21</v>
      </c>
      <c r="O51" s="320" t="s">
        <v>154</v>
      </c>
    </row>
    <row r="52" spans="1:15" s="196" customFormat="1" ht="13.5" customHeight="1">
      <c r="A52" s="400" t="s">
        <v>294</v>
      </c>
      <c r="B52" s="408">
        <v>14</v>
      </c>
      <c r="C52" s="419" t="s">
        <v>952</v>
      </c>
      <c r="D52" s="451" t="s">
        <v>592</v>
      </c>
      <c r="E52" s="400" t="s">
        <v>256</v>
      </c>
      <c r="F52" s="401">
        <v>48</v>
      </c>
      <c r="G52" s="402"/>
      <c r="H52" s="402">
        <f t="shared" si="6"/>
        <v>0</v>
      </c>
      <c r="I52" s="449">
        <v>0</v>
      </c>
      <c r="J52" s="401">
        <f>F52*I52</f>
        <v>0</v>
      </c>
      <c r="K52" s="449">
        <v>0</v>
      </c>
      <c r="L52" s="401">
        <f>F52*K52</f>
        <v>0</v>
      </c>
      <c r="M52" s="450">
        <f>$M$16</f>
        <v>21</v>
      </c>
      <c r="N52" s="334">
        <v>4</v>
      </c>
      <c r="O52" s="196" t="s">
        <v>161</v>
      </c>
    </row>
    <row r="53" spans="1:15" s="196" customFormat="1" ht="24.75" customHeight="1">
      <c r="A53" s="400" t="s">
        <v>296</v>
      </c>
      <c r="B53" s="403">
        <v>14</v>
      </c>
      <c r="C53" s="419" t="s">
        <v>953</v>
      </c>
      <c r="D53" s="451" t="s">
        <v>593</v>
      </c>
      <c r="E53" s="400" t="s">
        <v>256</v>
      </c>
      <c r="F53" s="401">
        <v>3</v>
      </c>
      <c r="G53" s="402"/>
      <c r="H53" s="402">
        <f t="shared" si="6"/>
        <v>0</v>
      </c>
      <c r="I53" s="449">
        <v>0</v>
      </c>
      <c r="J53" s="401">
        <f>F53*I53</f>
        <v>0</v>
      </c>
      <c r="K53" s="449">
        <v>0</v>
      </c>
      <c r="L53" s="401">
        <f>F53*K53</f>
        <v>0</v>
      </c>
      <c r="M53" s="450">
        <f>$M$16</f>
        <v>21</v>
      </c>
      <c r="N53" s="334">
        <v>4</v>
      </c>
      <c r="O53" s="196" t="s">
        <v>161</v>
      </c>
    </row>
    <row r="54" spans="1:15" s="196" customFormat="1" ht="13.5" customHeight="1">
      <c r="A54" s="400" t="s">
        <v>298</v>
      </c>
      <c r="B54" s="408">
        <v>14</v>
      </c>
      <c r="C54" s="419" t="s">
        <v>954</v>
      </c>
      <c r="D54" s="451" t="s">
        <v>594</v>
      </c>
      <c r="E54" s="400" t="s">
        <v>274</v>
      </c>
      <c r="F54" s="401">
        <v>3</v>
      </c>
      <c r="G54" s="402"/>
      <c r="H54" s="402">
        <f t="shared" si="6"/>
        <v>0</v>
      </c>
      <c r="I54" s="449">
        <v>0</v>
      </c>
      <c r="J54" s="401">
        <f>F54*I54</f>
        <v>0</v>
      </c>
      <c r="K54" s="449">
        <v>0</v>
      </c>
      <c r="L54" s="401">
        <f>F54*K54</f>
        <v>0</v>
      </c>
      <c r="M54" s="450">
        <f aca="true" t="shared" si="7" ref="M54:M86">$M$16</f>
        <v>21</v>
      </c>
      <c r="N54" s="334">
        <v>4</v>
      </c>
      <c r="O54" s="196" t="s">
        <v>161</v>
      </c>
    </row>
    <row r="55" spans="1:15" s="196" customFormat="1" ht="24.75" customHeight="1">
      <c r="A55" s="400" t="s">
        <v>302</v>
      </c>
      <c r="B55" s="403">
        <v>14</v>
      </c>
      <c r="C55" s="419" t="s">
        <v>955</v>
      </c>
      <c r="D55" s="451" t="s">
        <v>595</v>
      </c>
      <c r="E55" s="400" t="s">
        <v>317</v>
      </c>
      <c r="F55" s="401">
        <v>1</v>
      </c>
      <c r="G55" s="402"/>
      <c r="H55" s="402">
        <f t="shared" si="6"/>
        <v>0</v>
      </c>
      <c r="I55" s="449">
        <v>0</v>
      </c>
      <c r="J55" s="401">
        <f>F55*I55</f>
        <v>0</v>
      </c>
      <c r="K55" s="449">
        <v>0</v>
      </c>
      <c r="L55" s="401">
        <f>F55*K55</f>
        <v>0</v>
      </c>
      <c r="M55" s="450">
        <f t="shared" si="7"/>
        <v>21</v>
      </c>
      <c r="N55" s="334">
        <v>4</v>
      </c>
      <c r="O55" s="196" t="s">
        <v>161</v>
      </c>
    </row>
    <row r="56" spans="1:15" s="318" customFormat="1" ht="13.5" customHeight="1">
      <c r="A56" s="400" t="s">
        <v>307</v>
      </c>
      <c r="B56" s="408">
        <v>14</v>
      </c>
      <c r="C56" s="419" t="s">
        <v>956</v>
      </c>
      <c r="D56" s="451" t="s">
        <v>596</v>
      </c>
      <c r="E56" s="400" t="s">
        <v>274</v>
      </c>
      <c r="F56" s="401">
        <v>1</v>
      </c>
      <c r="G56" s="402"/>
      <c r="H56" s="402">
        <f t="shared" si="6"/>
        <v>0</v>
      </c>
      <c r="I56" s="446"/>
      <c r="J56" s="448">
        <f>J57</f>
        <v>0</v>
      </c>
      <c r="K56" s="446"/>
      <c r="L56" s="448">
        <f>L57</f>
        <v>0</v>
      </c>
      <c r="M56" s="450">
        <f t="shared" si="7"/>
        <v>21</v>
      </c>
      <c r="O56" s="320" t="s">
        <v>154</v>
      </c>
    </row>
    <row r="57" spans="1:15" s="196" customFormat="1" ht="24.75" customHeight="1">
      <c r="A57" s="400" t="s">
        <v>310</v>
      </c>
      <c r="B57" s="403">
        <v>14</v>
      </c>
      <c r="C57" s="419" t="s">
        <v>957</v>
      </c>
      <c r="D57" s="451" t="s">
        <v>597</v>
      </c>
      <c r="E57" s="400" t="s">
        <v>317</v>
      </c>
      <c r="F57" s="401">
        <v>8</v>
      </c>
      <c r="G57" s="402"/>
      <c r="H57" s="402">
        <f t="shared" si="6"/>
        <v>0</v>
      </c>
      <c r="I57" s="449">
        <v>0</v>
      </c>
      <c r="J57" s="401">
        <f>F57*I57</f>
        <v>0</v>
      </c>
      <c r="K57" s="449">
        <v>0</v>
      </c>
      <c r="L57" s="401">
        <f>F57*K57</f>
        <v>0</v>
      </c>
      <c r="M57" s="450">
        <f t="shared" si="7"/>
        <v>21</v>
      </c>
      <c r="N57" s="334">
        <v>4</v>
      </c>
      <c r="O57" s="196" t="s">
        <v>161</v>
      </c>
    </row>
    <row r="58" spans="1:13" s="323" customFormat="1" ht="13.5" customHeight="1">
      <c r="A58" s="400" t="s">
        <v>322</v>
      </c>
      <c r="B58" s="408">
        <v>14</v>
      </c>
      <c r="C58" s="419" t="s">
        <v>958</v>
      </c>
      <c r="D58" s="451" t="s">
        <v>598</v>
      </c>
      <c r="E58" s="400" t="s">
        <v>274</v>
      </c>
      <c r="F58" s="401">
        <v>3</v>
      </c>
      <c r="G58" s="402"/>
      <c r="H58" s="402">
        <f t="shared" si="6"/>
        <v>0</v>
      </c>
      <c r="I58" s="399"/>
      <c r="J58" s="455" t="e">
        <f>J14</f>
        <v>#REF!</v>
      </c>
      <c r="K58" s="399"/>
      <c r="L58" s="455" t="e">
        <f>L14</f>
        <v>#REF!</v>
      </c>
      <c r="M58" s="450">
        <f t="shared" si="7"/>
        <v>21</v>
      </c>
    </row>
    <row r="59" spans="1:13" ht="13.5" customHeight="1">
      <c r="A59" s="400" t="s">
        <v>324</v>
      </c>
      <c r="B59" s="403">
        <v>14</v>
      </c>
      <c r="C59" s="419" t="s">
        <v>959</v>
      </c>
      <c r="D59" s="451" t="s">
        <v>599</v>
      </c>
      <c r="E59" s="400" t="s">
        <v>274</v>
      </c>
      <c r="F59" s="401">
        <v>1</v>
      </c>
      <c r="G59" s="402"/>
      <c r="H59" s="402">
        <f t="shared" si="6"/>
        <v>0</v>
      </c>
      <c r="I59" s="453"/>
      <c r="J59" s="453"/>
      <c r="K59" s="453"/>
      <c r="L59" s="453"/>
      <c r="M59" s="450">
        <f t="shared" si="7"/>
        <v>21</v>
      </c>
    </row>
    <row r="60" spans="1:13" ht="13.5" customHeight="1">
      <c r="A60" s="400" t="s">
        <v>326</v>
      </c>
      <c r="B60" s="408">
        <v>14</v>
      </c>
      <c r="C60" s="419" t="s">
        <v>960</v>
      </c>
      <c r="D60" s="451" t="s">
        <v>600</v>
      </c>
      <c r="E60" s="400" t="s">
        <v>274</v>
      </c>
      <c r="F60" s="401">
        <v>1</v>
      </c>
      <c r="G60" s="402"/>
      <c r="H60" s="402">
        <f t="shared" si="6"/>
        <v>0</v>
      </c>
      <c r="I60" s="453"/>
      <c r="J60" s="453"/>
      <c r="K60" s="453"/>
      <c r="L60" s="453"/>
      <c r="M60" s="450">
        <f t="shared" si="7"/>
        <v>21</v>
      </c>
    </row>
    <row r="61" spans="1:13" ht="13.5" customHeight="1">
      <c r="A61" s="400" t="s">
        <v>328</v>
      </c>
      <c r="B61" s="403">
        <v>14</v>
      </c>
      <c r="C61" s="419" t="s">
        <v>961</v>
      </c>
      <c r="D61" s="451" t="s">
        <v>601</v>
      </c>
      <c r="E61" s="400" t="s">
        <v>274</v>
      </c>
      <c r="F61" s="401">
        <v>2</v>
      </c>
      <c r="G61" s="402"/>
      <c r="H61" s="402">
        <f t="shared" si="6"/>
        <v>0</v>
      </c>
      <c r="I61" s="453"/>
      <c r="J61" s="453"/>
      <c r="K61" s="453"/>
      <c r="L61" s="453"/>
      <c r="M61" s="450">
        <f t="shared" si="7"/>
        <v>21</v>
      </c>
    </row>
    <row r="62" spans="1:13" ht="13.5" customHeight="1">
      <c r="A62" s="400" t="s">
        <v>330</v>
      </c>
      <c r="B62" s="408">
        <v>14</v>
      </c>
      <c r="C62" s="419" t="s">
        <v>962</v>
      </c>
      <c r="D62" s="451" t="s">
        <v>602</v>
      </c>
      <c r="E62" s="400" t="s">
        <v>274</v>
      </c>
      <c r="F62" s="401">
        <v>1</v>
      </c>
      <c r="G62" s="402"/>
      <c r="H62" s="402">
        <f t="shared" si="6"/>
        <v>0</v>
      </c>
      <c r="I62" s="453"/>
      <c r="J62" s="453"/>
      <c r="K62" s="453"/>
      <c r="L62" s="453"/>
      <c r="M62" s="450">
        <f t="shared" si="7"/>
        <v>21</v>
      </c>
    </row>
    <row r="63" spans="1:13" ht="24.75" customHeight="1">
      <c r="A63" s="400" t="s">
        <v>332</v>
      </c>
      <c r="B63" s="403">
        <v>14</v>
      </c>
      <c r="C63" s="419" t="s">
        <v>963</v>
      </c>
      <c r="D63" s="451" t="s">
        <v>603</v>
      </c>
      <c r="E63" s="400" t="s">
        <v>317</v>
      </c>
      <c r="F63" s="401">
        <v>1</v>
      </c>
      <c r="G63" s="402"/>
      <c r="H63" s="402">
        <f t="shared" si="6"/>
        <v>0</v>
      </c>
      <c r="I63" s="453"/>
      <c r="J63" s="453"/>
      <c r="K63" s="453"/>
      <c r="L63" s="453"/>
      <c r="M63" s="450">
        <f t="shared" si="7"/>
        <v>21</v>
      </c>
    </row>
    <row r="64" spans="1:13" ht="13.5" customHeight="1">
      <c r="A64" s="400" t="s">
        <v>334</v>
      </c>
      <c r="B64" s="408">
        <v>14</v>
      </c>
      <c r="C64" s="419" t="s">
        <v>964</v>
      </c>
      <c r="D64" s="451" t="s">
        <v>604</v>
      </c>
      <c r="E64" s="400" t="s">
        <v>317</v>
      </c>
      <c r="F64" s="401">
        <v>1</v>
      </c>
      <c r="G64" s="402"/>
      <c r="H64" s="402">
        <f t="shared" si="6"/>
        <v>0</v>
      </c>
      <c r="I64" s="453"/>
      <c r="J64" s="453"/>
      <c r="K64" s="453"/>
      <c r="L64" s="453"/>
      <c r="M64" s="450">
        <f t="shared" si="7"/>
        <v>21</v>
      </c>
    </row>
    <row r="65" spans="1:13" ht="13.5" customHeight="1">
      <c r="A65" s="400" t="s">
        <v>336</v>
      </c>
      <c r="B65" s="403">
        <v>14</v>
      </c>
      <c r="C65" s="419" t="s">
        <v>965</v>
      </c>
      <c r="D65" s="451" t="s">
        <v>605</v>
      </c>
      <c r="E65" s="400" t="s">
        <v>274</v>
      </c>
      <c r="F65" s="401">
        <v>1</v>
      </c>
      <c r="G65" s="402"/>
      <c r="H65" s="402">
        <f t="shared" si="6"/>
        <v>0</v>
      </c>
      <c r="I65" s="453"/>
      <c r="J65" s="453"/>
      <c r="K65" s="453"/>
      <c r="L65" s="453"/>
      <c r="M65" s="450">
        <f t="shared" si="7"/>
        <v>21</v>
      </c>
    </row>
    <row r="66" spans="1:13" ht="13.5" customHeight="1">
      <c r="A66" s="400" t="s">
        <v>338</v>
      </c>
      <c r="B66" s="408">
        <v>14</v>
      </c>
      <c r="C66" s="419" t="s">
        <v>966</v>
      </c>
      <c r="D66" s="451" t="s">
        <v>606</v>
      </c>
      <c r="E66" s="400" t="s">
        <v>274</v>
      </c>
      <c r="F66" s="401">
        <v>1</v>
      </c>
      <c r="G66" s="402"/>
      <c r="H66" s="402">
        <f t="shared" si="6"/>
        <v>0</v>
      </c>
      <c r="I66" s="453"/>
      <c r="J66" s="453"/>
      <c r="K66" s="453"/>
      <c r="L66" s="453"/>
      <c r="M66" s="450">
        <f t="shared" si="7"/>
        <v>21</v>
      </c>
    </row>
    <row r="67" spans="1:13" ht="13.5" customHeight="1">
      <c r="A67" s="400" t="s">
        <v>340</v>
      </c>
      <c r="B67" s="403">
        <v>14</v>
      </c>
      <c r="C67" s="419" t="s">
        <v>967</v>
      </c>
      <c r="D67" s="451" t="s">
        <v>607</v>
      </c>
      <c r="E67" s="400" t="s">
        <v>317</v>
      </c>
      <c r="F67" s="401">
        <v>1</v>
      </c>
      <c r="G67" s="402"/>
      <c r="H67" s="402">
        <f t="shared" si="6"/>
        <v>0</v>
      </c>
      <c r="I67" s="453"/>
      <c r="J67" s="453"/>
      <c r="K67" s="453"/>
      <c r="L67" s="453"/>
      <c r="M67" s="450">
        <f t="shared" si="7"/>
        <v>21</v>
      </c>
    </row>
    <row r="68" spans="1:13" ht="13.5" customHeight="1">
      <c r="A68" s="400" t="s">
        <v>343</v>
      </c>
      <c r="B68" s="408">
        <v>14</v>
      </c>
      <c r="C68" s="419" t="s">
        <v>968</v>
      </c>
      <c r="D68" s="451" t="s">
        <v>608</v>
      </c>
      <c r="E68" s="400" t="s">
        <v>274</v>
      </c>
      <c r="F68" s="401">
        <v>1</v>
      </c>
      <c r="G68" s="402"/>
      <c r="H68" s="402">
        <f t="shared" si="6"/>
        <v>0</v>
      </c>
      <c r="I68" s="453"/>
      <c r="J68" s="453"/>
      <c r="K68" s="453"/>
      <c r="L68" s="453"/>
      <c r="M68" s="450">
        <f t="shared" si="7"/>
        <v>21</v>
      </c>
    </row>
    <row r="69" spans="1:13" ht="13.5" customHeight="1">
      <c r="A69" s="400" t="s">
        <v>344</v>
      </c>
      <c r="B69" s="403">
        <v>14</v>
      </c>
      <c r="C69" s="419" t="s">
        <v>966</v>
      </c>
      <c r="D69" s="451" t="s">
        <v>606</v>
      </c>
      <c r="E69" s="400" t="s">
        <v>274</v>
      </c>
      <c r="F69" s="401">
        <v>1</v>
      </c>
      <c r="G69" s="402"/>
      <c r="H69" s="402">
        <f t="shared" si="6"/>
        <v>0</v>
      </c>
      <c r="I69" s="453"/>
      <c r="J69" s="453"/>
      <c r="K69" s="453"/>
      <c r="L69" s="453"/>
      <c r="M69" s="450">
        <f t="shared" si="7"/>
        <v>21</v>
      </c>
    </row>
    <row r="70" spans="1:13" ht="13.5" customHeight="1">
      <c r="A70" s="400" t="s">
        <v>345</v>
      </c>
      <c r="B70" s="408">
        <v>14</v>
      </c>
      <c r="C70" s="419" t="s">
        <v>969</v>
      </c>
      <c r="D70" s="451" t="s">
        <v>609</v>
      </c>
      <c r="E70" s="400" t="s">
        <v>256</v>
      </c>
      <c r="F70" s="401">
        <v>44.4</v>
      </c>
      <c r="G70" s="402"/>
      <c r="H70" s="402">
        <f t="shared" si="6"/>
        <v>0</v>
      </c>
      <c r="I70" s="453"/>
      <c r="J70" s="453"/>
      <c r="K70" s="453"/>
      <c r="L70" s="453"/>
      <c r="M70" s="450">
        <f t="shared" si="7"/>
        <v>21</v>
      </c>
    </row>
    <row r="71" spans="1:13" ht="13.5" customHeight="1">
      <c r="A71" s="400" t="s">
        <v>346</v>
      </c>
      <c r="B71" s="403">
        <v>14</v>
      </c>
      <c r="C71" s="419" t="s">
        <v>970</v>
      </c>
      <c r="D71" s="451" t="s">
        <v>610</v>
      </c>
      <c r="E71" s="400" t="s">
        <v>256</v>
      </c>
      <c r="F71" s="401">
        <v>44.4</v>
      </c>
      <c r="G71" s="402"/>
      <c r="H71" s="402">
        <f t="shared" si="6"/>
        <v>0</v>
      </c>
      <c r="I71" s="453"/>
      <c r="J71" s="453"/>
      <c r="K71" s="453"/>
      <c r="L71" s="453"/>
      <c r="M71" s="450">
        <f t="shared" si="7"/>
        <v>21</v>
      </c>
    </row>
    <row r="72" spans="1:13" ht="13.5" customHeight="1">
      <c r="A72" s="400" t="s">
        <v>347</v>
      </c>
      <c r="B72" s="408">
        <v>14</v>
      </c>
      <c r="C72" s="419" t="s">
        <v>971</v>
      </c>
      <c r="D72" s="451" t="s">
        <v>611</v>
      </c>
      <c r="E72" s="400" t="s">
        <v>317</v>
      </c>
      <c r="F72" s="401">
        <v>2</v>
      </c>
      <c r="G72" s="402"/>
      <c r="H72" s="402">
        <f t="shared" si="6"/>
        <v>0</v>
      </c>
      <c r="I72" s="453"/>
      <c r="J72" s="453"/>
      <c r="K72" s="453"/>
      <c r="L72" s="453"/>
      <c r="M72" s="450">
        <f t="shared" si="7"/>
        <v>21</v>
      </c>
    </row>
    <row r="73" spans="1:13" ht="13.5" customHeight="1">
      <c r="A73" s="400" t="s">
        <v>348</v>
      </c>
      <c r="B73" s="403">
        <v>14</v>
      </c>
      <c r="C73" s="419" t="s">
        <v>972</v>
      </c>
      <c r="D73" s="451" t="s">
        <v>612</v>
      </c>
      <c r="E73" s="400" t="s">
        <v>317</v>
      </c>
      <c r="F73" s="401">
        <v>1</v>
      </c>
      <c r="G73" s="402"/>
      <c r="H73" s="402">
        <f t="shared" si="6"/>
        <v>0</v>
      </c>
      <c r="I73" s="453"/>
      <c r="J73" s="453"/>
      <c r="K73" s="453"/>
      <c r="L73" s="453"/>
      <c r="M73" s="450">
        <f t="shared" si="7"/>
        <v>21</v>
      </c>
    </row>
    <row r="74" spans="1:13" ht="13.5" customHeight="1">
      <c r="A74" s="400" t="s">
        <v>349</v>
      </c>
      <c r="B74" s="408">
        <v>14</v>
      </c>
      <c r="C74" s="419" t="s">
        <v>973</v>
      </c>
      <c r="D74" s="451" t="s">
        <v>613</v>
      </c>
      <c r="E74" s="400" t="s">
        <v>317</v>
      </c>
      <c r="F74" s="401">
        <v>1</v>
      </c>
      <c r="G74" s="402"/>
      <c r="H74" s="402">
        <f t="shared" si="6"/>
        <v>0</v>
      </c>
      <c r="I74" s="453"/>
      <c r="J74" s="453"/>
      <c r="K74" s="453"/>
      <c r="L74" s="453"/>
      <c r="M74" s="450">
        <f t="shared" si="7"/>
        <v>21</v>
      </c>
    </row>
    <row r="75" spans="1:13" ht="13.5" customHeight="1">
      <c r="A75" s="400" t="s">
        <v>372</v>
      </c>
      <c r="B75" s="403">
        <v>14</v>
      </c>
      <c r="C75" s="419" t="s">
        <v>906</v>
      </c>
      <c r="D75" s="451" t="s">
        <v>538</v>
      </c>
      <c r="E75" s="400" t="s">
        <v>317</v>
      </c>
      <c r="F75" s="401">
        <v>1</v>
      </c>
      <c r="G75" s="402"/>
      <c r="H75" s="402">
        <f t="shared" si="6"/>
        <v>0</v>
      </c>
      <c r="I75" s="453"/>
      <c r="J75" s="453"/>
      <c r="K75" s="453"/>
      <c r="L75" s="453"/>
      <c r="M75" s="450">
        <f t="shared" si="7"/>
        <v>21</v>
      </c>
    </row>
    <row r="76" spans="1:13" ht="13.5" customHeight="1">
      <c r="A76" s="400" t="s">
        <v>373</v>
      </c>
      <c r="B76" s="408">
        <v>14</v>
      </c>
      <c r="C76" s="419" t="s">
        <v>974</v>
      </c>
      <c r="D76" s="451" t="s">
        <v>614</v>
      </c>
      <c r="E76" s="400" t="s">
        <v>317</v>
      </c>
      <c r="F76" s="401">
        <v>1</v>
      </c>
      <c r="G76" s="402"/>
      <c r="H76" s="402">
        <f t="shared" si="6"/>
        <v>0</v>
      </c>
      <c r="I76" s="453"/>
      <c r="J76" s="453"/>
      <c r="K76" s="453"/>
      <c r="L76" s="453"/>
      <c r="M76" s="450">
        <f t="shared" si="7"/>
        <v>21</v>
      </c>
    </row>
    <row r="77" spans="1:13" ht="13.5" customHeight="1">
      <c r="A77" s="400" t="s">
        <v>374</v>
      </c>
      <c r="B77" s="403">
        <v>14</v>
      </c>
      <c r="C77" s="419" t="s">
        <v>975</v>
      </c>
      <c r="D77" s="451" t="s">
        <v>615</v>
      </c>
      <c r="E77" s="400" t="s">
        <v>256</v>
      </c>
      <c r="F77" s="401">
        <v>100</v>
      </c>
      <c r="G77" s="402"/>
      <c r="H77" s="402">
        <f t="shared" si="6"/>
        <v>0</v>
      </c>
      <c r="I77" s="453"/>
      <c r="J77" s="453"/>
      <c r="K77" s="453"/>
      <c r="L77" s="453"/>
      <c r="M77" s="450">
        <f t="shared" si="7"/>
        <v>21</v>
      </c>
    </row>
    <row r="78" spans="1:13" ht="13.5" customHeight="1">
      <c r="A78" s="400" t="s">
        <v>376</v>
      </c>
      <c r="B78" s="408">
        <v>14</v>
      </c>
      <c r="C78" s="419" t="s">
        <v>976</v>
      </c>
      <c r="D78" s="451" t="s">
        <v>616</v>
      </c>
      <c r="E78" s="400" t="s">
        <v>256</v>
      </c>
      <c r="F78" s="401">
        <v>50</v>
      </c>
      <c r="G78" s="402"/>
      <c r="H78" s="402">
        <f t="shared" si="6"/>
        <v>0</v>
      </c>
      <c r="I78" s="453"/>
      <c r="J78" s="453"/>
      <c r="K78" s="453"/>
      <c r="L78" s="453"/>
      <c r="M78" s="450">
        <f t="shared" si="7"/>
        <v>21</v>
      </c>
    </row>
    <row r="79" spans="1:13" ht="13.5" customHeight="1">
      <c r="A79" s="400" t="s">
        <v>377</v>
      </c>
      <c r="B79" s="403">
        <v>14</v>
      </c>
      <c r="C79" s="419" t="s">
        <v>977</v>
      </c>
      <c r="D79" s="451" t="s">
        <v>617</v>
      </c>
      <c r="E79" s="400" t="s">
        <v>342</v>
      </c>
      <c r="F79" s="401">
        <v>1</v>
      </c>
      <c r="G79" s="402"/>
      <c r="H79" s="402">
        <f t="shared" si="6"/>
        <v>0</v>
      </c>
      <c r="I79" s="453"/>
      <c r="J79" s="453"/>
      <c r="K79" s="453"/>
      <c r="L79" s="453"/>
      <c r="M79" s="450">
        <f t="shared" si="7"/>
        <v>21</v>
      </c>
    </row>
    <row r="80" spans="1:13" ht="13.5" customHeight="1">
      <c r="A80" s="446"/>
      <c r="B80" s="408"/>
      <c r="C80" s="446" t="s">
        <v>163</v>
      </c>
      <c r="D80" s="446" t="s">
        <v>291</v>
      </c>
      <c r="E80" s="446"/>
      <c r="F80" s="446"/>
      <c r="G80" s="446"/>
      <c r="H80" s="447">
        <f>SUM(H81:H84)</f>
        <v>0</v>
      </c>
      <c r="I80" s="453"/>
      <c r="J80" s="453"/>
      <c r="K80" s="453"/>
      <c r="L80" s="453"/>
      <c r="M80" s="450"/>
    </row>
    <row r="81" spans="1:13" ht="13.5" customHeight="1">
      <c r="A81" s="400" t="s">
        <v>378</v>
      </c>
      <c r="B81" s="403">
        <v>14</v>
      </c>
      <c r="C81" s="419" t="s">
        <v>750</v>
      </c>
      <c r="D81" s="451" t="s">
        <v>293</v>
      </c>
      <c r="E81" s="400" t="s">
        <v>256</v>
      </c>
      <c r="F81" s="401">
        <v>48.8</v>
      </c>
      <c r="G81" s="402"/>
      <c r="H81" s="402">
        <f>ROUND(F81*G81,2)</f>
        <v>0</v>
      </c>
      <c r="I81" s="453"/>
      <c r="J81" s="453"/>
      <c r="K81" s="453"/>
      <c r="L81" s="453"/>
      <c r="M81" s="450">
        <f t="shared" si="7"/>
        <v>21</v>
      </c>
    </row>
    <row r="82" spans="1:13" ht="13.5" customHeight="1">
      <c r="A82" s="400" t="s">
        <v>380</v>
      </c>
      <c r="B82" s="403">
        <v>14</v>
      </c>
      <c r="C82" s="419" t="s">
        <v>751</v>
      </c>
      <c r="D82" s="451" t="s">
        <v>295</v>
      </c>
      <c r="E82" s="400" t="s">
        <v>268</v>
      </c>
      <c r="F82" s="401">
        <v>16.919</v>
      </c>
      <c r="G82" s="402"/>
      <c r="H82" s="402">
        <f>ROUND(F82*G82,2)</f>
        <v>0</v>
      </c>
      <c r="I82" s="453"/>
      <c r="J82" s="453"/>
      <c r="K82" s="453"/>
      <c r="L82" s="453"/>
      <c r="M82" s="450">
        <f t="shared" si="7"/>
        <v>21</v>
      </c>
    </row>
    <row r="83" spans="1:13" ht="13.5" customHeight="1">
      <c r="A83" s="400" t="s">
        <v>381</v>
      </c>
      <c r="B83" s="408">
        <v>14</v>
      </c>
      <c r="C83" s="419" t="s">
        <v>752</v>
      </c>
      <c r="D83" s="451" t="s">
        <v>297</v>
      </c>
      <c r="E83" s="400" t="s">
        <v>268</v>
      </c>
      <c r="F83" s="401">
        <v>152.271</v>
      </c>
      <c r="G83" s="402"/>
      <c r="H83" s="402">
        <f>ROUND(F83*G83,2)</f>
        <v>0</v>
      </c>
      <c r="I83" s="453"/>
      <c r="J83" s="453"/>
      <c r="K83" s="453"/>
      <c r="L83" s="453"/>
      <c r="M83" s="450">
        <f t="shared" si="7"/>
        <v>21</v>
      </c>
    </row>
    <row r="84" spans="1:13" ht="13.5" customHeight="1">
      <c r="A84" s="400" t="s">
        <v>383</v>
      </c>
      <c r="B84" s="403">
        <v>14</v>
      </c>
      <c r="C84" s="419" t="s">
        <v>832</v>
      </c>
      <c r="D84" s="451" t="s">
        <v>618</v>
      </c>
      <c r="E84" s="400" t="s">
        <v>268</v>
      </c>
      <c r="F84" s="401">
        <v>16.919</v>
      </c>
      <c r="G84" s="402"/>
      <c r="H84" s="402">
        <f>ROUND(F84*G84,2)</f>
        <v>0</v>
      </c>
      <c r="I84" s="453"/>
      <c r="J84" s="453"/>
      <c r="K84" s="453"/>
      <c r="L84" s="453"/>
      <c r="M84" s="450">
        <f t="shared" si="7"/>
        <v>21</v>
      </c>
    </row>
    <row r="85" spans="1:13" ht="13.5" customHeight="1">
      <c r="A85" s="446"/>
      <c r="B85" s="408"/>
      <c r="C85" s="446" t="s">
        <v>300</v>
      </c>
      <c r="D85" s="446" t="s">
        <v>301</v>
      </c>
      <c r="E85" s="446"/>
      <c r="F85" s="446"/>
      <c r="G85" s="446"/>
      <c r="H85" s="447">
        <f>H86</f>
        <v>0</v>
      </c>
      <c r="I85" s="453"/>
      <c r="J85" s="453"/>
      <c r="K85" s="453"/>
      <c r="L85" s="453"/>
      <c r="M85" s="450"/>
    </row>
    <row r="86" spans="1:13" ht="13.5" customHeight="1">
      <c r="A86" s="400" t="s">
        <v>384</v>
      </c>
      <c r="B86" s="403">
        <v>14</v>
      </c>
      <c r="C86" s="419" t="s">
        <v>754</v>
      </c>
      <c r="D86" s="451" t="s">
        <v>303</v>
      </c>
      <c r="E86" s="400" t="s">
        <v>268</v>
      </c>
      <c r="F86" s="401">
        <v>47.886</v>
      </c>
      <c r="G86" s="402"/>
      <c r="H86" s="402">
        <f>ROUND(F86*G86,2)</f>
        <v>0</v>
      </c>
      <c r="I86" s="453"/>
      <c r="J86" s="453"/>
      <c r="K86" s="453"/>
      <c r="L86" s="453"/>
      <c r="M86" s="450">
        <f t="shared" si="7"/>
        <v>21</v>
      </c>
    </row>
    <row r="87" spans="1:13" ht="13.5" customHeight="1">
      <c r="A87" s="399"/>
      <c r="B87" s="453"/>
      <c r="C87" s="399"/>
      <c r="D87" s="399" t="s">
        <v>124</v>
      </c>
      <c r="E87" s="399"/>
      <c r="F87" s="399"/>
      <c r="G87" s="399"/>
      <c r="H87" s="454">
        <f>H14</f>
        <v>0</v>
      </c>
      <c r="I87" s="453"/>
      <c r="J87" s="453"/>
      <c r="K87" s="453"/>
      <c r="L87" s="453"/>
      <c r="M87" s="453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26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6" sqref="A36:IV36"/>
      <selection pane="bottomLeft" activeCell="D36" sqref="D36"/>
    </sheetView>
  </sheetViews>
  <sheetFormatPr defaultColWidth="9.140625" defaultRowHeight="15"/>
  <cols>
    <col min="1" max="1" width="9.57421875" style="345" customWidth="1"/>
    <col min="2" max="2" width="6.00390625" style="345" customWidth="1"/>
    <col min="3" max="3" width="10.28125" style="345" customWidth="1"/>
    <col min="4" max="4" width="51.421875" style="345" customWidth="1"/>
    <col min="5" max="5" width="51.140625" style="353" hidden="1" customWidth="1"/>
    <col min="6" max="6" width="3.28125" style="345" customWidth="1"/>
    <col min="7" max="7" width="7.57421875" style="345" customWidth="1"/>
    <col min="8" max="8" width="9.8515625" style="345" customWidth="1"/>
    <col min="9" max="9" width="10.8515625" style="345" bestFit="1" customWidth="1"/>
    <col min="10" max="10" width="6.00390625" style="345" bestFit="1" customWidth="1"/>
    <col min="11" max="11" width="10.140625" style="345" bestFit="1" customWidth="1"/>
    <col min="12" max="12" width="10.140625" style="345" customWidth="1"/>
    <col min="13" max="13" width="9.140625" style="345" customWidth="1"/>
    <col min="14" max="14" width="23.421875" style="345" customWidth="1"/>
    <col min="15" max="15" width="9.140625" style="345" customWidth="1"/>
    <col min="16" max="16" width="16.28125" style="345" customWidth="1"/>
    <col min="17" max="16384" width="9.140625" style="345" customWidth="1"/>
  </cols>
  <sheetData>
    <row r="1" spans="1:12" ht="18">
      <c r="A1" s="471" t="s">
        <v>986</v>
      </c>
      <c r="B1" s="472"/>
      <c r="C1" s="472"/>
      <c r="D1" s="472"/>
      <c r="E1" s="473"/>
      <c r="F1" s="472"/>
      <c r="G1" s="472"/>
      <c r="H1" s="472"/>
      <c r="I1" s="472"/>
      <c r="J1" s="472"/>
      <c r="K1" s="472"/>
      <c r="L1" s="472"/>
    </row>
    <row r="2" spans="1:12" ht="15.75">
      <c r="A2" s="474" t="s">
        <v>72</v>
      </c>
      <c r="B2" s="475" t="s">
        <v>2</v>
      </c>
      <c r="C2" s="476"/>
      <c r="D2" s="472"/>
      <c r="E2" s="473"/>
      <c r="F2" s="472"/>
      <c r="G2" s="472"/>
      <c r="H2" s="472"/>
      <c r="I2" s="472"/>
      <c r="J2" s="472"/>
      <c r="K2" s="472"/>
      <c r="L2" s="472"/>
    </row>
    <row r="3" spans="1:12" ht="12.75">
      <c r="A3" s="477" t="s">
        <v>225</v>
      </c>
      <c r="B3" s="523" t="s">
        <v>1004</v>
      </c>
      <c r="C3" s="478"/>
      <c r="D3" s="479"/>
      <c r="E3" s="480"/>
      <c r="F3" s="472"/>
      <c r="G3" s="472"/>
      <c r="H3" s="472"/>
      <c r="I3" s="472"/>
      <c r="J3" s="472"/>
      <c r="K3" s="472"/>
      <c r="L3" s="472"/>
    </row>
    <row r="4" spans="1:12" ht="12.75">
      <c r="A4" s="477" t="s">
        <v>622</v>
      </c>
      <c r="B4" s="472"/>
      <c r="C4" s="472"/>
      <c r="D4" s="472"/>
      <c r="E4" s="473"/>
      <c r="F4" s="472"/>
      <c r="G4" s="472"/>
      <c r="H4" s="472"/>
      <c r="I4" s="472"/>
      <c r="J4" s="472"/>
      <c r="K4" s="472"/>
      <c r="L4" s="472"/>
    </row>
    <row r="5" spans="1:12" ht="12.75">
      <c r="A5" s="472"/>
      <c r="B5" s="472"/>
      <c r="C5" s="472"/>
      <c r="D5" s="472"/>
      <c r="E5" s="473"/>
      <c r="F5" s="472"/>
      <c r="G5" s="472"/>
      <c r="H5" s="481"/>
      <c r="I5" s="472"/>
      <c r="J5" s="472"/>
      <c r="K5" s="472"/>
      <c r="L5" s="472"/>
    </row>
    <row r="6" spans="1:12" ht="12.75">
      <c r="A6" s="470" t="s">
        <v>987</v>
      </c>
      <c r="B6" s="702" t="s">
        <v>988</v>
      </c>
      <c r="C6" s="702"/>
      <c r="D6" s="472"/>
      <c r="E6" s="473"/>
      <c r="F6" s="472"/>
      <c r="G6" s="472"/>
      <c r="H6" s="472"/>
      <c r="I6" s="472"/>
      <c r="J6" s="472"/>
      <c r="K6" s="472"/>
      <c r="L6" s="472"/>
    </row>
    <row r="7" spans="1:12" ht="22.5">
      <c r="A7" s="654" t="s">
        <v>233</v>
      </c>
      <c r="B7" s="654" t="s">
        <v>621</v>
      </c>
      <c r="C7" s="654" t="s">
        <v>985</v>
      </c>
      <c r="D7" s="654" t="s">
        <v>623</v>
      </c>
      <c r="E7" s="655" t="s">
        <v>625</v>
      </c>
      <c r="F7" s="654" t="s">
        <v>234</v>
      </c>
      <c r="G7" s="654" t="s">
        <v>235</v>
      </c>
      <c r="H7" s="654" t="s">
        <v>236</v>
      </c>
      <c r="I7" s="654" t="s">
        <v>624</v>
      </c>
      <c r="J7" s="654" t="s">
        <v>162</v>
      </c>
      <c r="K7" s="654" t="s">
        <v>229</v>
      </c>
      <c r="L7" s="654" t="s">
        <v>240</v>
      </c>
    </row>
    <row r="8" spans="1:12" ht="12.75">
      <c r="A8" s="654">
        <v>1</v>
      </c>
      <c r="B8" s="654">
        <v>2</v>
      </c>
      <c r="C8" s="654">
        <v>3</v>
      </c>
      <c r="D8" s="654">
        <v>4</v>
      </c>
      <c r="E8" s="655">
        <v>6</v>
      </c>
      <c r="F8" s="654">
        <v>5</v>
      </c>
      <c r="G8" s="654">
        <v>6</v>
      </c>
      <c r="H8" s="654">
        <v>7</v>
      </c>
      <c r="I8" s="654">
        <v>8</v>
      </c>
      <c r="J8" s="654">
        <v>9</v>
      </c>
      <c r="K8" s="654">
        <v>10</v>
      </c>
      <c r="L8" s="654">
        <v>11</v>
      </c>
    </row>
    <row r="9" spans="1:12" ht="12.75">
      <c r="A9" s="656"/>
      <c r="B9" s="482"/>
      <c r="C9" s="482"/>
      <c r="D9" s="483" t="s">
        <v>243</v>
      </c>
      <c r="E9" s="484"/>
      <c r="F9" s="483"/>
      <c r="G9" s="485"/>
      <c r="H9" s="486"/>
      <c r="I9" s="346"/>
      <c r="J9" s="346"/>
      <c r="K9" s="348">
        <f>K10+K60</f>
        <v>0</v>
      </c>
      <c r="L9" s="657">
        <f>L10+L60</f>
        <v>0</v>
      </c>
    </row>
    <row r="10" spans="1:12" ht="12.75">
      <c r="A10" s="656"/>
      <c r="B10" s="583"/>
      <c r="C10" s="550" t="s">
        <v>626</v>
      </c>
      <c r="D10" s="551" t="s">
        <v>160</v>
      </c>
      <c r="E10" s="347"/>
      <c r="F10" s="584"/>
      <c r="G10" s="584"/>
      <c r="H10" s="584"/>
      <c r="I10" s="486"/>
      <c r="J10" s="486"/>
      <c r="K10" s="487">
        <f>SUM(K12:K57)</f>
        <v>0</v>
      </c>
      <c r="L10" s="658">
        <f>SUM(L12:L57)</f>
        <v>0</v>
      </c>
    </row>
    <row r="11" spans="1:12" ht="12.75">
      <c r="A11" s="585"/>
      <c r="B11" s="585"/>
      <c r="C11" s="586" t="s">
        <v>627</v>
      </c>
      <c r="D11" s="587" t="s">
        <v>628</v>
      </c>
      <c r="E11" s="488"/>
      <c r="F11" s="588"/>
      <c r="G11" s="521"/>
      <c r="H11" s="522"/>
      <c r="I11" s="489"/>
      <c r="J11" s="490"/>
      <c r="K11" s="489"/>
      <c r="L11" s="659"/>
    </row>
    <row r="12" spans="1:12" ht="12.75">
      <c r="A12" s="585" t="s">
        <v>154</v>
      </c>
      <c r="B12" s="518" t="s">
        <v>171</v>
      </c>
      <c r="C12" s="589"/>
      <c r="D12" s="590" t="s">
        <v>629</v>
      </c>
      <c r="E12" s="491"/>
      <c r="F12" s="588" t="s">
        <v>342</v>
      </c>
      <c r="G12" s="521">
        <v>1</v>
      </c>
      <c r="H12" s="522">
        <v>0</v>
      </c>
      <c r="I12" s="489">
        <f>G12*H12</f>
        <v>0</v>
      </c>
      <c r="J12" s="490"/>
      <c r="K12" s="489">
        <f>I12+J12</f>
        <v>0</v>
      </c>
      <c r="L12" s="659">
        <f>0.21*K12</f>
        <v>0</v>
      </c>
    </row>
    <row r="13" spans="1:12" ht="12.75">
      <c r="A13" s="585" t="s">
        <v>161</v>
      </c>
      <c r="B13" s="518" t="s">
        <v>171</v>
      </c>
      <c r="C13" s="589"/>
      <c r="D13" s="592" t="s">
        <v>630</v>
      </c>
      <c r="E13" s="432"/>
      <c r="F13" s="588" t="s">
        <v>342</v>
      </c>
      <c r="G13" s="521">
        <v>1</v>
      </c>
      <c r="H13" s="522">
        <v>0</v>
      </c>
      <c r="I13" s="489">
        <v>0</v>
      </c>
      <c r="J13" s="490"/>
      <c r="K13" s="489">
        <f>I13+J13</f>
        <v>0</v>
      </c>
      <c r="L13" s="659">
        <f>0.21*K13</f>
        <v>0</v>
      </c>
    </row>
    <row r="14" spans="1:12" ht="16.5" customHeight="1">
      <c r="A14" s="660"/>
      <c r="B14" s="546"/>
      <c r="C14" s="547"/>
      <c r="D14" s="593"/>
      <c r="E14" s="492"/>
      <c r="F14" s="547"/>
      <c r="G14" s="594"/>
      <c r="H14" s="595"/>
      <c r="I14" s="493"/>
      <c r="J14" s="493"/>
      <c r="K14" s="493"/>
      <c r="L14" s="661"/>
    </row>
    <row r="15" spans="1:12" ht="12.75">
      <c r="A15" s="662"/>
      <c r="B15" s="596"/>
      <c r="C15" s="597" t="s">
        <v>631</v>
      </c>
      <c r="D15" s="598" t="s">
        <v>632</v>
      </c>
      <c r="E15" s="351"/>
      <c r="F15" s="599"/>
      <c r="G15" s="600"/>
      <c r="H15" s="601"/>
      <c r="I15" s="494"/>
      <c r="J15" s="494"/>
      <c r="K15" s="495"/>
      <c r="L15" s="663"/>
    </row>
    <row r="16" spans="1:12" ht="12.75">
      <c r="A16" s="664"/>
      <c r="B16" s="602"/>
      <c r="C16" s="603"/>
      <c r="D16" s="604" t="s">
        <v>633</v>
      </c>
      <c r="E16" s="435"/>
      <c r="F16" s="605"/>
      <c r="G16" s="602"/>
      <c r="H16" s="606"/>
      <c r="I16" s="496"/>
      <c r="J16" s="496"/>
      <c r="K16" s="497"/>
      <c r="L16" s="665"/>
    </row>
    <row r="17" spans="1:12" ht="12.75">
      <c r="A17" s="612">
        <v>3</v>
      </c>
      <c r="B17" s="518" t="s">
        <v>171</v>
      </c>
      <c r="C17" s="607"/>
      <c r="D17" s="607" t="s">
        <v>634</v>
      </c>
      <c r="E17" s="436" t="s">
        <v>635</v>
      </c>
      <c r="F17" s="588" t="s">
        <v>342</v>
      </c>
      <c r="G17" s="521">
        <v>1</v>
      </c>
      <c r="H17" s="522">
        <v>0</v>
      </c>
      <c r="I17" s="489">
        <f>G17*H17</f>
        <v>0</v>
      </c>
      <c r="J17" s="490"/>
      <c r="K17" s="489">
        <f>G17*H17</f>
        <v>0</v>
      </c>
      <c r="L17" s="489">
        <f>0.21*K17</f>
        <v>0</v>
      </c>
    </row>
    <row r="18" spans="1:12" ht="22.5">
      <c r="A18" s="666">
        <v>4</v>
      </c>
      <c r="B18" s="518" t="s">
        <v>171</v>
      </c>
      <c r="C18" s="608"/>
      <c r="D18" s="608" t="s">
        <v>636</v>
      </c>
      <c r="E18" s="433" t="s">
        <v>637</v>
      </c>
      <c r="F18" s="588" t="s">
        <v>342</v>
      </c>
      <c r="G18" s="521">
        <v>1</v>
      </c>
      <c r="H18" s="522">
        <v>0</v>
      </c>
      <c r="I18" s="489">
        <f>G18*H18</f>
        <v>0</v>
      </c>
      <c r="J18" s="489"/>
      <c r="K18" s="437">
        <f>SUM(I18:J18)</f>
        <v>0</v>
      </c>
      <c r="L18" s="667">
        <f>0.21*K18</f>
        <v>0</v>
      </c>
    </row>
    <row r="19" spans="1:12" ht="18" customHeight="1">
      <c r="A19" s="666">
        <v>5</v>
      </c>
      <c r="B19" s="518" t="s">
        <v>171</v>
      </c>
      <c r="C19" s="608"/>
      <c r="D19" s="608" t="s">
        <v>638</v>
      </c>
      <c r="E19" s="433" t="s">
        <v>639</v>
      </c>
      <c r="F19" s="588" t="s">
        <v>342</v>
      </c>
      <c r="G19" s="521">
        <v>1</v>
      </c>
      <c r="H19" s="522">
        <v>0</v>
      </c>
      <c r="I19" s="489">
        <f>G19*H19</f>
        <v>0</v>
      </c>
      <c r="J19" s="489"/>
      <c r="K19" s="437">
        <f>SUM(I19:J19)</f>
        <v>0</v>
      </c>
      <c r="L19" s="667">
        <f>0.21*K19</f>
        <v>0</v>
      </c>
    </row>
    <row r="20" spans="1:12" ht="18.75" customHeight="1">
      <c r="A20" s="660"/>
      <c r="B20" s="546"/>
      <c r="C20" s="547"/>
      <c r="D20" s="593"/>
      <c r="E20" s="492"/>
      <c r="F20" s="547"/>
      <c r="G20" s="594"/>
      <c r="H20" s="595"/>
      <c r="I20" s="493"/>
      <c r="J20" s="493"/>
      <c r="K20" s="493"/>
      <c r="L20" s="661"/>
    </row>
    <row r="21" spans="1:12" ht="12.75">
      <c r="A21" s="668"/>
      <c r="B21" s="552"/>
      <c r="C21" s="609" t="s">
        <v>640</v>
      </c>
      <c r="D21" s="574" t="s">
        <v>1009</v>
      </c>
      <c r="E21" s="438"/>
      <c r="F21" s="556"/>
      <c r="G21" s="610"/>
      <c r="H21" s="611"/>
      <c r="I21" s="498"/>
      <c r="J21" s="498"/>
      <c r="K21" s="499"/>
      <c r="L21" s="669"/>
    </row>
    <row r="22" spans="1:12" ht="45">
      <c r="A22" s="612">
        <v>6</v>
      </c>
      <c r="B22" s="518" t="s">
        <v>171</v>
      </c>
      <c r="C22" s="559"/>
      <c r="D22" s="591" t="s">
        <v>641</v>
      </c>
      <c r="E22" s="439" t="s">
        <v>642</v>
      </c>
      <c r="F22" s="520" t="s">
        <v>342</v>
      </c>
      <c r="G22" s="521">
        <v>1</v>
      </c>
      <c r="H22" s="522">
        <v>0</v>
      </c>
      <c r="I22" s="489">
        <f>G22*H22</f>
        <v>0</v>
      </c>
      <c r="J22" s="489"/>
      <c r="K22" s="489">
        <f>G22*H22</f>
        <v>0</v>
      </c>
      <c r="L22" s="659">
        <f>0.21*K22</f>
        <v>0</v>
      </c>
    </row>
    <row r="23" spans="1:12" ht="27" customHeight="1">
      <c r="A23" s="612">
        <v>7</v>
      </c>
      <c r="B23" s="518" t="s">
        <v>171</v>
      </c>
      <c r="C23" s="559"/>
      <c r="D23" s="613" t="s">
        <v>1010</v>
      </c>
      <c r="E23" s="439"/>
      <c r="F23" s="520" t="s">
        <v>342</v>
      </c>
      <c r="G23" s="521">
        <v>1</v>
      </c>
      <c r="H23" s="522">
        <v>0</v>
      </c>
      <c r="I23" s="489">
        <f>G23*H23</f>
        <v>0</v>
      </c>
      <c r="J23" s="489"/>
      <c r="K23" s="489">
        <f>G23*H23</f>
        <v>0</v>
      </c>
      <c r="L23" s="659">
        <f>0.21*K23</f>
        <v>0</v>
      </c>
    </row>
    <row r="24" spans="1:12" ht="12.75">
      <c r="A24" s="660"/>
      <c r="B24" s="546"/>
      <c r="C24" s="614"/>
      <c r="D24" s="593"/>
      <c r="E24" s="492"/>
      <c r="F24" s="547"/>
      <c r="G24" s="548"/>
      <c r="H24" s="548"/>
      <c r="I24" s="500"/>
      <c r="J24" s="500"/>
      <c r="K24" s="500"/>
      <c r="L24" s="670"/>
    </row>
    <row r="25" spans="1:12" ht="12.75">
      <c r="A25" s="668"/>
      <c r="B25" s="552"/>
      <c r="C25" s="609" t="s">
        <v>643</v>
      </c>
      <c r="D25" s="565" t="s">
        <v>644</v>
      </c>
      <c r="E25" s="501"/>
      <c r="F25" s="556"/>
      <c r="G25" s="557"/>
      <c r="H25" s="558"/>
      <c r="I25" s="502"/>
      <c r="J25" s="502"/>
      <c r="K25" s="440"/>
      <c r="L25" s="671"/>
    </row>
    <row r="26" spans="1:12" ht="18" customHeight="1">
      <c r="A26" s="612">
        <v>8</v>
      </c>
      <c r="B26" s="518" t="s">
        <v>171</v>
      </c>
      <c r="C26" s="615"/>
      <c r="D26" s="615" t="s">
        <v>645</v>
      </c>
      <c r="E26" s="503" t="s">
        <v>646</v>
      </c>
      <c r="F26" s="520" t="s">
        <v>342</v>
      </c>
      <c r="G26" s="521">
        <v>1</v>
      </c>
      <c r="H26" s="522">
        <v>0</v>
      </c>
      <c r="I26" s="489">
        <f>G26*H26</f>
        <v>0</v>
      </c>
      <c r="J26" s="489"/>
      <c r="K26" s="437">
        <f>SUM(I26:J26)</f>
        <v>0</v>
      </c>
      <c r="L26" s="667">
        <f>0.21*K26</f>
        <v>0</v>
      </c>
    </row>
    <row r="27" spans="1:12" ht="16.5" customHeight="1">
      <c r="A27" s="612">
        <v>9</v>
      </c>
      <c r="B27" s="518" t="s">
        <v>171</v>
      </c>
      <c r="C27" s="615"/>
      <c r="D27" s="615" t="s">
        <v>647</v>
      </c>
      <c r="E27" s="503" t="s">
        <v>648</v>
      </c>
      <c r="F27" s="520" t="s">
        <v>342</v>
      </c>
      <c r="G27" s="521">
        <v>1</v>
      </c>
      <c r="H27" s="522">
        <v>0</v>
      </c>
      <c r="I27" s="489">
        <f>G27*H27</f>
        <v>0</v>
      </c>
      <c r="J27" s="489"/>
      <c r="K27" s="437">
        <f>SUM(I27:J27)</f>
        <v>0</v>
      </c>
      <c r="L27" s="667">
        <f>0.21*K27</f>
        <v>0</v>
      </c>
    </row>
    <row r="28" spans="1:12" ht="15.75" customHeight="1">
      <c r="A28" s="672">
        <v>10</v>
      </c>
      <c r="B28" s="518" t="s">
        <v>171</v>
      </c>
      <c r="C28" s="616"/>
      <c r="D28" s="617" t="s">
        <v>649</v>
      </c>
      <c r="E28" s="504" t="s">
        <v>650</v>
      </c>
      <c r="F28" s="618" t="s">
        <v>342</v>
      </c>
      <c r="G28" s="619">
        <v>1</v>
      </c>
      <c r="H28" s="620">
        <v>0</v>
      </c>
      <c r="I28" s="505">
        <f>G28*H28</f>
        <v>0</v>
      </c>
      <c r="J28" s="505"/>
      <c r="K28" s="506">
        <f>SUM(I28:J28)</f>
        <v>0</v>
      </c>
      <c r="L28" s="673">
        <f>0.21*K28</f>
        <v>0</v>
      </c>
    </row>
    <row r="29" spans="1:12" ht="12.75">
      <c r="A29" s="660"/>
      <c r="B29" s="546"/>
      <c r="C29" s="547"/>
      <c r="D29" s="593"/>
      <c r="E29" s="492"/>
      <c r="F29" s="547"/>
      <c r="G29" s="548"/>
      <c r="H29" s="549"/>
      <c r="I29" s="507"/>
      <c r="J29" s="507"/>
      <c r="K29" s="507"/>
      <c r="L29" s="674"/>
    </row>
    <row r="30" spans="1:12" ht="12.75">
      <c r="A30" s="668"/>
      <c r="B30" s="552"/>
      <c r="C30" s="609" t="s">
        <v>715</v>
      </c>
      <c r="D30" s="574" t="s">
        <v>716</v>
      </c>
      <c r="E30" s="438"/>
      <c r="F30" s="556"/>
      <c r="G30" s="557"/>
      <c r="H30" s="557"/>
      <c r="I30" s="508"/>
      <c r="J30" s="508"/>
      <c r="K30" s="508"/>
      <c r="L30" s="675"/>
    </row>
    <row r="31" spans="1:12" ht="33.75">
      <c r="A31" s="612">
        <v>11</v>
      </c>
      <c r="B31" s="518" t="s">
        <v>171</v>
      </c>
      <c r="C31" s="559"/>
      <c r="D31" s="607" t="s">
        <v>717</v>
      </c>
      <c r="E31" s="436" t="s">
        <v>651</v>
      </c>
      <c r="F31" s="520" t="s">
        <v>342</v>
      </c>
      <c r="G31" s="521">
        <v>1</v>
      </c>
      <c r="H31" s="522">
        <v>0</v>
      </c>
      <c r="I31" s="489">
        <f>G31*H31</f>
        <v>0</v>
      </c>
      <c r="J31" s="489"/>
      <c r="K31" s="437">
        <f>SUM(I31:J31)</f>
        <v>0</v>
      </c>
      <c r="L31" s="667">
        <f>0.21*K31</f>
        <v>0</v>
      </c>
    </row>
    <row r="32" spans="1:12" ht="12.75">
      <c r="A32" s="660"/>
      <c r="B32" s="546"/>
      <c r="C32" s="614"/>
      <c r="D32" s="593"/>
      <c r="E32" s="492"/>
      <c r="F32" s="547"/>
      <c r="G32" s="548"/>
      <c r="H32" s="548"/>
      <c r="I32" s="500"/>
      <c r="J32" s="500"/>
      <c r="K32" s="500"/>
      <c r="L32" s="670"/>
    </row>
    <row r="33" spans="1:12" ht="12.75">
      <c r="A33" s="668"/>
      <c r="B33" s="552"/>
      <c r="C33" s="621" t="s">
        <v>652</v>
      </c>
      <c r="D33" s="622" t="s">
        <v>653</v>
      </c>
      <c r="E33" s="509"/>
      <c r="F33" s="556"/>
      <c r="G33" s="557"/>
      <c r="H33" s="558"/>
      <c r="I33" s="502"/>
      <c r="J33" s="502"/>
      <c r="K33" s="502"/>
      <c r="L33" s="675"/>
    </row>
    <row r="34" spans="1:12" ht="15.75" customHeight="1">
      <c r="A34" s="585" t="s">
        <v>186</v>
      </c>
      <c r="B34" s="518" t="s">
        <v>171</v>
      </c>
      <c r="C34" s="519"/>
      <c r="D34" s="623" t="s">
        <v>654</v>
      </c>
      <c r="E34" s="510" t="s">
        <v>655</v>
      </c>
      <c r="F34" s="520" t="s">
        <v>342</v>
      </c>
      <c r="G34" s="521">
        <v>1</v>
      </c>
      <c r="H34" s="522">
        <v>0</v>
      </c>
      <c r="I34" s="489">
        <f>G34*H34</f>
        <v>0</v>
      </c>
      <c r="J34" s="489"/>
      <c r="K34" s="437">
        <f>SUM(I34:J34)</f>
        <v>0</v>
      </c>
      <c r="L34" s="667">
        <f>0.21*K34</f>
        <v>0</v>
      </c>
    </row>
    <row r="35" spans="1:12" ht="34.5" customHeight="1">
      <c r="A35" s="612">
        <v>13</v>
      </c>
      <c r="B35" s="518" t="s">
        <v>171</v>
      </c>
      <c r="C35" s="519"/>
      <c r="D35" s="517" t="s">
        <v>656</v>
      </c>
      <c r="E35" s="439" t="s">
        <v>657</v>
      </c>
      <c r="F35" s="520" t="s">
        <v>342</v>
      </c>
      <c r="G35" s="521">
        <v>1</v>
      </c>
      <c r="H35" s="522">
        <v>0</v>
      </c>
      <c r="I35" s="489">
        <f>G35*H35</f>
        <v>0</v>
      </c>
      <c r="J35" s="489"/>
      <c r="K35" s="437">
        <f>SUM(I35:J35)</f>
        <v>0</v>
      </c>
      <c r="L35" s="667">
        <f>0.21*K35</f>
        <v>0</v>
      </c>
    </row>
    <row r="36" spans="1:12" ht="33" customHeight="1">
      <c r="A36" s="676" t="s">
        <v>165</v>
      </c>
      <c r="B36" s="518" t="s">
        <v>171</v>
      </c>
      <c r="C36" s="559"/>
      <c r="D36" s="704" t="s">
        <v>1024</v>
      </c>
      <c r="E36" s="511" t="s">
        <v>688</v>
      </c>
      <c r="F36" s="520" t="s">
        <v>342</v>
      </c>
      <c r="G36" s="521">
        <v>1</v>
      </c>
      <c r="H36" s="522">
        <v>0</v>
      </c>
      <c r="I36" s="489">
        <f>G36*H36</f>
        <v>0</v>
      </c>
      <c r="J36" s="489"/>
      <c r="K36" s="437">
        <f>SUM(I36:J36)</f>
        <v>0</v>
      </c>
      <c r="L36" s="667">
        <f>0.21*K36</f>
        <v>0</v>
      </c>
    </row>
    <row r="37" spans="1:12" ht="12.75">
      <c r="A37" s="660"/>
      <c r="B37" s="546"/>
      <c r="C37" s="547"/>
      <c r="D37" s="593"/>
      <c r="E37" s="492"/>
      <c r="F37" s="547"/>
      <c r="G37" s="548"/>
      <c r="H37" s="549"/>
      <c r="I37" s="507"/>
      <c r="J37" s="507"/>
      <c r="K37" s="507"/>
      <c r="L37" s="674"/>
    </row>
    <row r="38" spans="1:12" ht="12.75">
      <c r="A38" s="668"/>
      <c r="B38" s="552"/>
      <c r="C38" s="553" t="s">
        <v>658</v>
      </c>
      <c r="D38" s="624" t="s">
        <v>659</v>
      </c>
      <c r="E38" s="438"/>
      <c r="F38" s="556"/>
      <c r="G38" s="557"/>
      <c r="H38" s="557"/>
      <c r="I38" s="508"/>
      <c r="J38" s="508"/>
      <c r="K38" s="508"/>
      <c r="L38" s="675"/>
    </row>
    <row r="39" spans="1:12" ht="12.75">
      <c r="A39" s="612">
        <v>15</v>
      </c>
      <c r="B39" s="518" t="s">
        <v>171</v>
      </c>
      <c r="C39" s="559"/>
      <c r="D39" s="625" t="s">
        <v>660</v>
      </c>
      <c r="E39" s="441" t="s">
        <v>661</v>
      </c>
      <c r="F39" s="520" t="s">
        <v>342</v>
      </c>
      <c r="G39" s="521">
        <v>1</v>
      </c>
      <c r="H39" s="522">
        <v>0</v>
      </c>
      <c r="I39" s="489">
        <f>G39*H39</f>
        <v>0</v>
      </c>
      <c r="J39" s="489"/>
      <c r="K39" s="437">
        <f>SUM(I39:J39)</f>
        <v>0</v>
      </c>
      <c r="L39" s="667">
        <f>0.21*K39</f>
        <v>0</v>
      </c>
    </row>
    <row r="40" spans="1:12" ht="12.75">
      <c r="A40" s="612">
        <v>16</v>
      </c>
      <c r="B40" s="518" t="s">
        <v>171</v>
      </c>
      <c r="C40" s="559"/>
      <c r="D40" s="626" t="s">
        <v>663</v>
      </c>
      <c r="E40" s="436" t="s">
        <v>663</v>
      </c>
      <c r="F40" s="520" t="s">
        <v>342</v>
      </c>
      <c r="G40" s="521">
        <v>1</v>
      </c>
      <c r="H40" s="522">
        <v>0</v>
      </c>
      <c r="I40" s="489">
        <f>G40*H40</f>
        <v>0</v>
      </c>
      <c r="J40" s="489"/>
      <c r="K40" s="437">
        <f>SUM(I40:J40)</f>
        <v>0</v>
      </c>
      <c r="L40" s="667">
        <f>0.21*K40</f>
        <v>0</v>
      </c>
    </row>
    <row r="41" spans="1:12" ht="13.5" customHeight="1">
      <c r="A41" s="612">
        <v>17</v>
      </c>
      <c r="B41" s="518" t="s">
        <v>171</v>
      </c>
      <c r="C41" s="559"/>
      <c r="D41" s="560" t="s">
        <v>664</v>
      </c>
      <c r="E41" s="511" t="s">
        <v>665</v>
      </c>
      <c r="F41" s="520" t="s">
        <v>342</v>
      </c>
      <c r="G41" s="521">
        <v>1</v>
      </c>
      <c r="H41" s="522">
        <v>0</v>
      </c>
      <c r="I41" s="489">
        <f>G41*H41</f>
        <v>0</v>
      </c>
      <c r="J41" s="489"/>
      <c r="K41" s="437">
        <f>SUM(I41:J41)</f>
        <v>0</v>
      </c>
      <c r="L41" s="667">
        <f>0.21*K41</f>
        <v>0</v>
      </c>
    </row>
    <row r="42" spans="1:12" ht="18" customHeight="1">
      <c r="A42" s="612">
        <v>18</v>
      </c>
      <c r="B42" s="518" t="s">
        <v>171</v>
      </c>
      <c r="C42" s="559"/>
      <c r="D42" s="560" t="s">
        <v>686</v>
      </c>
      <c r="E42" s="511" t="s">
        <v>687</v>
      </c>
      <c r="F42" s="520" t="s">
        <v>342</v>
      </c>
      <c r="G42" s="521">
        <v>1</v>
      </c>
      <c r="H42" s="522">
        <v>0</v>
      </c>
      <c r="I42" s="489">
        <f>G42*H42</f>
        <v>0</v>
      </c>
      <c r="J42" s="489"/>
      <c r="K42" s="437">
        <f>SUM(I42:J42)</f>
        <v>0</v>
      </c>
      <c r="L42" s="667">
        <f>0.21*K42</f>
        <v>0</v>
      </c>
    </row>
    <row r="43" spans="1:12" ht="12.75">
      <c r="A43" s="660"/>
      <c r="B43" s="546"/>
      <c r="C43" s="547"/>
      <c r="D43" s="593"/>
      <c r="E43" s="492"/>
      <c r="F43" s="547"/>
      <c r="G43" s="548"/>
      <c r="H43" s="549"/>
      <c r="I43" s="507"/>
      <c r="J43" s="507"/>
      <c r="K43" s="507"/>
      <c r="L43" s="674"/>
    </row>
    <row r="44" spans="1:12" ht="12.75">
      <c r="A44" s="585"/>
      <c r="B44" s="588"/>
      <c r="C44" s="627" t="s">
        <v>662</v>
      </c>
      <c r="D44" s="628" t="s">
        <v>667</v>
      </c>
      <c r="E44" s="432"/>
      <c r="F44" s="520"/>
      <c r="G44" s="521"/>
      <c r="H44" s="522"/>
      <c r="I44" s="489"/>
      <c r="J44" s="489"/>
      <c r="K44" s="443"/>
      <c r="L44" s="677"/>
    </row>
    <row r="45" spans="1:12" ht="17.25" customHeight="1">
      <c r="A45" s="612">
        <v>19</v>
      </c>
      <c r="B45" s="518" t="s">
        <v>171</v>
      </c>
      <c r="C45" s="519"/>
      <c r="D45" s="629" t="s">
        <v>668</v>
      </c>
      <c r="E45" s="442" t="s">
        <v>669</v>
      </c>
      <c r="F45" s="520" t="s">
        <v>342</v>
      </c>
      <c r="G45" s="521">
        <v>1</v>
      </c>
      <c r="H45" s="522">
        <v>0</v>
      </c>
      <c r="I45" s="489">
        <f>G45*H45</f>
        <v>0</v>
      </c>
      <c r="J45" s="489"/>
      <c r="K45" s="437">
        <f>SUM(I45:J45)</f>
        <v>0</v>
      </c>
      <c r="L45" s="667">
        <f>0.21*K45</f>
        <v>0</v>
      </c>
    </row>
    <row r="46" spans="1:12" ht="15.75" customHeight="1">
      <c r="A46" s="612">
        <v>20</v>
      </c>
      <c r="B46" s="518" t="s">
        <v>171</v>
      </c>
      <c r="C46" s="519"/>
      <c r="D46" s="629" t="s">
        <v>670</v>
      </c>
      <c r="E46" s="439" t="s">
        <v>671</v>
      </c>
      <c r="F46" s="520" t="s">
        <v>342</v>
      </c>
      <c r="G46" s="521">
        <v>1</v>
      </c>
      <c r="H46" s="522">
        <v>0</v>
      </c>
      <c r="I46" s="489">
        <f>G46*H46</f>
        <v>0</v>
      </c>
      <c r="J46" s="489"/>
      <c r="K46" s="437">
        <f>SUM(I46:J46)</f>
        <v>0</v>
      </c>
      <c r="L46" s="667">
        <f>0.21*K46</f>
        <v>0</v>
      </c>
    </row>
    <row r="47" spans="1:12" ht="24" customHeight="1">
      <c r="A47" s="612">
        <v>21</v>
      </c>
      <c r="B47" s="518" t="s">
        <v>171</v>
      </c>
      <c r="C47" s="519"/>
      <c r="D47" s="517" t="s">
        <v>995</v>
      </c>
      <c r="E47" s="439"/>
      <c r="F47" s="520" t="s">
        <v>996</v>
      </c>
      <c r="G47" s="521">
        <v>870</v>
      </c>
      <c r="H47" s="522">
        <v>0</v>
      </c>
      <c r="I47" s="489"/>
      <c r="J47" s="489"/>
      <c r="K47" s="437">
        <f>G47*H47</f>
        <v>0</v>
      </c>
      <c r="L47" s="667">
        <f>0.21*K47</f>
        <v>0</v>
      </c>
    </row>
    <row r="48" spans="1:12" ht="15.75" customHeight="1">
      <c r="A48" s="612">
        <v>22</v>
      </c>
      <c r="B48" s="518" t="s">
        <v>171</v>
      </c>
      <c r="C48" s="519"/>
      <c r="D48" s="630" t="s">
        <v>672</v>
      </c>
      <c r="E48" s="503" t="s">
        <v>673</v>
      </c>
      <c r="F48" s="520" t="s">
        <v>342</v>
      </c>
      <c r="G48" s="521">
        <v>1</v>
      </c>
      <c r="H48" s="521">
        <v>0</v>
      </c>
      <c r="I48" s="489">
        <f>G48*H48</f>
        <v>0</v>
      </c>
      <c r="J48" s="512"/>
      <c r="K48" s="437">
        <f>SUM(I48:J48)</f>
        <v>0</v>
      </c>
      <c r="L48" s="667">
        <f>0.21*K48</f>
        <v>0</v>
      </c>
    </row>
    <row r="49" spans="1:12" ht="15.75" customHeight="1">
      <c r="A49" s="660"/>
      <c r="B49" s="576"/>
      <c r="C49" s="577"/>
      <c r="D49" s="635"/>
      <c r="E49" s="636"/>
      <c r="F49" s="547"/>
      <c r="G49" s="548"/>
      <c r="H49" s="548"/>
      <c r="I49" s="507"/>
      <c r="J49" s="500"/>
      <c r="K49" s="580"/>
      <c r="L49" s="678"/>
    </row>
    <row r="50" spans="1:12" s="642" customFormat="1" ht="12.75">
      <c r="A50" s="679"/>
      <c r="B50" s="637"/>
      <c r="C50" s="638" t="s">
        <v>666</v>
      </c>
      <c r="D50" s="555" t="s">
        <v>1018</v>
      </c>
      <c r="E50" s="501"/>
      <c r="F50" s="639"/>
      <c r="G50" s="640"/>
      <c r="H50" s="641"/>
      <c r="I50" s="508"/>
      <c r="J50" s="508"/>
      <c r="K50" s="440"/>
      <c r="L50" s="671"/>
    </row>
    <row r="51" spans="1:12" s="536" customFormat="1" ht="17.25" customHeight="1">
      <c r="A51" s="612">
        <v>23</v>
      </c>
      <c r="B51" s="518" t="s">
        <v>171</v>
      </c>
      <c r="C51" s="534"/>
      <c r="D51" s="535" t="s">
        <v>1019</v>
      </c>
      <c r="E51" s="439" t="s">
        <v>676</v>
      </c>
      <c r="F51" s="520" t="s">
        <v>342</v>
      </c>
      <c r="G51" s="521">
        <v>1</v>
      </c>
      <c r="H51" s="522">
        <v>0</v>
      </c>
      <c r="I51" s="489">
        <f>G51*H51</f>
        <v>0</v>
      </c>
      <c r="J51" s="489"/>
      <c r="K51" s="437">
        <f>SUM(I51:J51)</f>
        <v>0</v>
      </c>
      <c r="L51" s="667">
        <f>0.21*K51</f>
        <v>0</v>
      </c>
    </row>
    <row r="52" spans="1:12" ht="12.75">
      <c r="A52" s="660"/>
      <c r="B52" s="546"/>
      <c r="C52" s="547"/>
      <c r="D52" s="593"/>
      <c r="E52" s="492"/>
      <c r="F52" s="547"/>
      <c r="G52" s="548"/>
      <c r="H52" s="549"/>
      <c r="I52" s="507"/>
      <c r="J52" s="507"/>
      <c r="K52" s="507"/>
      <c r="L52" s="674"/>
    </row>
    <row r="53" spans="1:12" ht="12.75">
      <c r="A53" s="668"/>
      <c r="B53" s="552"/>
      <c r="C53" s="631" t="s">
        <v>1005</v>
      </c>
      <c r="D53" s="632" t="s">
        <v>674</v>
      </c>
      <c r="E53" s="501"/>
      <c r="F53" s="556"/>
      <c r="G53" s="557"/>
      <c r="H53" s="558"/>
      <c r="I53" s="502"/>
      <c r="J53" s="502"/>
      <c r="K53" s="440"/>
      <c r="L53" s="671"/>
    </row>
    <row r="54" spans="1:12" ht="17.25" customHeight="1">
      <c r="A54" s="612">
        <v>24</v>
      </c>
      <c r="B54" s="518" t="s">
        <v>171</v>
      </c>
      <c r="C54" s="633"/>
      <c r="D54" s="630" t="s">
        <v>675</v>
      </c>
      <c r="E54" s="439" t="s">
        <v>676</v>
      </c>
      <c r="F54" s="520" t="s">
        <v>342</v>
      </c>
      <c r="G54" s="521">
        <v>1</v>
      </c>
      <c r="H54" s="522">
        <v>0</v>
      </c>
      <c r="I54" s="489">
        <f>G54*H54</f>
        <v>0</v>
      </c>
      <c r="J54" s="489"/>
      <c r="K54" s="437">
        <f>SUM(I54:J54)</f>
        <v>0</v>
      </c>
      <c r="L54" s="667">
        <f>0.21*K54</f>
        <v>0</v>
      </c>
    </row>
    <row r="55" spans="1:12" s="533" customFormat="1" ht="12.75">
      <c r="A55" s="680"/>
      <c r="B55" s="524"/>
      <c r="C55" s="525" t="s">
        <v>1020</v>
      </c>
      <c r="D55" s="526" t="s">
        <v>1016</v>
      </c>
      <c r="E55" s="527"/>
      <c r="F55" s="528"/>
      <c r="G55" s="529"/>
      <c r="H55" s="530"/>
      <c r="I55" s="531"/>
      <c r="J55" s="531"/>
      <c r="K55" s="532"/>
      <c r="L55" s="681"/>
    </row>
    <row r="56" spans="1:12" s="536" customFormat="1" ht="17.25" customHeight="1">
      <c r="A56" s="682">
        <v>25</v>
      </c>
      <c r="B56" s="518" t="s">
        <v>171</v>
      </c>
      <c r="C56" s="534"/>
      <c r="D56" s="535" t="s">
        <v>1015</v>
      </c>
      <c r="E56" s="439" t="s">
        <v>676</v>
      </c>
      <c r="F56" s="520" t="s">
        <v>342</v>
      </c>
      <c r="G56" s="521">
        <v>1</v>
      </c>
      <c r="H56" s="522">
        <v>0</v>
      </c>
      <c r="I56" s="489">
        <f>G56*H56</f>
        <v>0</v>
      </c>
      <c r="J56" s="489"/>
      <c r="K56" s="437">
        <f>SUM(I56:J56)</f>
        <v>0</v>
      </c>
      <c r="L56" s="667">
        <f>0.21*K56</f>
        <v>0</v>
      </c>
    </row>
    <row r="57" spans="1:12" s="536" customFormat="1" ht="17.25" customHeight="1">
      <c r="A57" s="682">
        <v>26</v>
      </c>
      <c r="B57" s="518" t="s">
        <v>171</v>
      </c>
      <c r="C57" s="534"/>
      <c r="D57" s="535" t="s">
        <v>1006</v>
      </c>
      <c r="E57" s="439" t="s">
        <v>676</v>
      </c>
      <c r="F57" s="520" t="s">
        <v>342</v>
      </c>
      <c r="G57" s="521">
        <v>1</v>
      </c>
      <c r="H57" s="522">
        <v>0</v>
      </c>
      <c r="I57" s="489">
        <f>G57*H57</f>
        <v>0</v>
      </c>
      <c r="J57" s="489"/>
      <c r="K57" s="437">
        <f>SUM(I57:J57)</f>
        <v>0</v>
      </c>
      <c r="L57" s="667">
        <f>0.21*K57</f>
        <v>0</v>
      </c>
    </row>
    <row r="58" spans="1:12" s="536" customFormat="1" ht="17.25" customHeight="1">
      <c r="A58" s="682">
        <v>27</v>
      </c>
      <c r="B58" s="518" t="s">
        <v>171</v>
      </c>
      <c r="C58" s="534"/>
      <c r="D58" s="535" t="s">
        <v>1017</v>
      </c>
      <c r="E58" s="439" t="s">
        <v>676</v>
      </c>
      <c r="F58" s="520" t="s">
        <v>342</v>
      </c>
      <c r="G58" s="521">
        <v>1</v>
      </c>
      <c r="H58" s="522">
        <v>0</v>
      </c>
      <c r="I58" s="489">
        <f>G58*H58</f>
        <v>0</v>
      </c>
      <c r="J58" s="489"/>
      <c r="K58" s="437">
        <f>SUM(I58:J58)</f>
        <v>0</v>
      </c>
      <c r="L58" s="667">
        <f>0.21*K58</f>
        <v>0</v>
      </c>
    </row>
    <row r="59" spans="1:12" s="536" customFormat="1" ht="17.25" customHeight="1">
      <c r="A59" s="683"/>
      <c r="B59" s="537"/>
      <c r="C59" s="538"/>
      <c r="D59" s="539"/>
      <c r="E59" s="540"/>
      <c r="F59" s="541"/>
      <c r="G59" s="542"/>
      <c r="H59" s="543"/>
      <c r="I59" s="544"/>
      <c r="J59" s="544"/>
      <c r="K59" s="545"/>
      <c r="L59" s="684"/>
    </row>
    <row r="60" spans="1:12" s="536" customFormat="1" ht="14.25" customHeight="1">
      <c r="A60" s="685"/>
      <c r="B60" s="546"/>
      <c r="C60" s="550" t="s">
        <v>677</v>
      </c>
      <c r="D60" s="551" t="s">
        <v>679</v>
      </c>
      <c r="E60" s="513"/>
      <c r="F60" s="547"/>
      <c r="G60" s="548"/>
      <c r="H60" s="549"/>
      <c r="I60" s="507"/>
      <c r="J60" s="507"/>
      <c r="K60" s="514">
        <f>SUM(K62:K80)</f>
        <v>0</v>
      </c>
      <c r="L60" s="686">
        <f>SUM(L62:L80)</f>
        <v>0</v>
      </c>
    </row>
    <row r="61" spans="1:12" s="533" customFormat="1" ht="12.75">
      <c r="A61" s="668"/>
      <c r="B61" s="552"/>
      <c r="C61" s="553" t="s">
        <v>678</v>
      </c>
      <c r="D61" s="554" t="s">
        <v>689</v>
      </c>
      <c r="E61" s="555"/>
      <c r="F61" s="556"/>
      <c r="G61" s="557"/>
      <c r="H61" s="558"/>
      <c r="I61" s="502"/>
      <c r="J61" s="502"/>
      <c r="K61" s="502"/>
      <c r="L61" s="687"/>
    </row>
    <row r="62" spans="1:12" s="536" customFormat="1" ht="17.25" customHeight="1">
      <c r="A62" s="612">
        <v>28</v>
      </c>
      <c r="B62" s="518" t="s">
        <v>171</v>
      </c>
      <c r="C62" s="559"/>
      <c r="D62" s="560" t="s">
        <v>690</v>
      </c>
      <c r="E62" s="515" t="s">
        <v>691</v>
      </c>
      <c r="F62" s="520" t="s">
        <v>342</v>
      </c>
      <c r="G62" s="521">
        <v>1</v>
      </c>
      <c r="H62" s="522">
        <v>0</v>
      </c>
      <c r="I62" s="489">
        <f>G62*H62</f>
        <v>0</v>
      </c>
      <c r="J62" s="489"/>
      <c r="K62" s="437">
        <f>SUM(I62:J62)</f>
        <v>0</v>
      </c>
      <c r="L62" s="667">
        <f>0.21*K62</f>
        <v>0</v>
      </c>
    </row>
    <row r="63" spans="1:12" s="536" customFormat="1" ht="17.25" customHeight="1">
      <c r="A63" s="612">
        <v>29</v>
      </c>
      <c r="B63" s="518" t="s">
        <v>171</v>
      </c>
      <c r="C63" s="559"/>
      <c r="D63" s="560" t="s">
        <v>692</v>
      </c>
      <c r="E63" s="444" t="s">
        <v>693</v>
      </c>
      <c r="F63" s="520" t="s">
        <v>342</v>
      </c>
      <c r="G63" s="521">
        <v>1</v>
      </c>
      <c r="H63" s="522">
        <v>0</v>
      </c>
      <c r="I63" s="489">
        <f>G63*H63</f>
        <v>0</v>
      </c>
      <c r="J63" s="489"/>
      <c r="K63" s="437">
        <f>SUM(I63:J63)</f>
        <v>0</v>
      </c>
      <c r="L63" s="667">
        <f>0.21*K63</f>
        <v>0</v>
      </c>
    </row>
    <row r="64" spans="1:12" ht="15" customHeight="1">
      <c r="A64" s="585" t="s">
        <v>287</v>
      </c>
      <c r="B64" s="518" t="s">
        <v>171</v>
      </c>
      <c r="C64" s="559"/>
      <c r="D64" s="560" t="s">
        <v>694</v>
      </c>
      <c r="E64" s="444" t="s">
        <v>695</v>
      </c>
      <c r="F64" s="520" t="s">
        <v>342</v>
      </c>
      <c r="G64" s="521">
        <v>1</v>
      </c>
      <c r="H64" s="522">
        <v>0</v>
      </c>
      <c r="I64" s="489">
        <f>G64*H64</f>
        <v>0</v>
      </c>
      <c r="J64" s="489"/>
      <c r="K64" s="437">
        <f>SUM(I64:J64)</f>
        <v>0</v>
      </c>
      <c r="L64" s="667">
        <f>0.21*K64</f>
        <v>0</v>
      </c>
    </row>
    <row r="65" spans="1:12" ht="26.25" customHeight="1">
      <c r="A65" s="612">
        <v>31</v>
      </c>
      <c r="B65" s="518" t="s">
        <v>171</v>
      </c>
      <c r="C65" s="559"/>
      <c r="D65" s="561" t="s">
        <v>696</v>
      </c>
      <c r="E65" s="439" t="s">
        <v>697</v>
      </c>
      <c r="F65" s="520" t="s">
        <v>342</v>
      </c>
      <c r="G65" s="521">
        <v>1</v>
      </c>
      <c r="H65" s="522">
        <v>0</v>
      </c>
      <c r="I65" s="489">
        <f>G65*H65</f>
        <v>0</v>
      </c>
      <c r="J65" s="489"/>
      <c r="K65" s="437">
        <f>SUM(I65:J65)</f>
        <v>0</v>
      </c>
      <c r="L65" s="667">
        <f>0.21*K65</f>
        <v>0</v>
      </c>
    </row>
    <row r="66" spans="1:12" ht="12.75">
      <c r="A66" s="688"/>
      <c r="B66" s="546"/>
      <c r="C66" s="562"/>
      <c r="D66" s="563"/>
      <c r="E66" s="350"/>
      <c r="F66" s="547"/>
      <c r="G66" s="548"/>
      <c r="H66" s="549"/>
      <c r="I66" s="507"/>
      <c r="J66" s="507"/>
      <c r="K66" s="507"/>
      <c r="L66" s="674"/>
    </row>
    <row r="67" spans="1:12" ht="16.5" customHeight="1">
      <c r="A67" s="668"/>
      <c r="B67" s="552"/>
      <c r="C67" s="553" t="s">
        <v>991</v>
      </c>
      <c r="D67" s="554" t="s">
        <v>698</v>
      </c>
      <c r="E67" s="555"/>
      <c r="F67" s="556"/>
      <c r="G67" s="557"/>
      <c r="H67" s="558"/>
      <c r="I67" s="502"/>
      <c r="J67" s="502"/>
      <c r="K67" s="440"/>
      <c r="L67" s="671"/>
    </row>
    <row r="68" spans="1:12" ht="14.25" customHeight="1">
      <c r="A68" s="585" t="s">
        <v>292</v>
      </c>
      <c r="B68" s="518" t="s">
        <v>171</v>
      </c>
      <c r="C68" s="559"/>
      <c r="D68" s="560" t="s">
        <v>699</v>
      </c>
      <c r="E68" s="511" t="s">
        <v>700</v>
      </c>
      <c r="F68" s="520" t="s">
        <v>342</v>
      </c>
      <c r="G68" s="521">
        <v>1</v>
      </c>
      <c r="H68" s="522">
        <v>0</v>
      </c>
      <c r="I68" s="489">
        <f>G68*H68</f>
        <v>0</v>
      </c>
      <c r="J68" s="489"/>
      <c r="K68" s="437">
        <f>SUM(I68:J68)</f>
        <v>0</v>
      </c>
      <c r="L68" s="667">
        <f>0.21*K68</f>
        <v>0</v>
      </c>
    </row>
    <row r="69" spans="1:12" ht="15" customHeight="1">
      <c r="A69" s="612">
        <v>33</v>
      </c>
      <c r="B69" s="518" t="s">
        <v>171</v>
      </c>
      <c r="C69" s="559"/>
      <c r="D69" s="560" t="s">
        <v>701</v>
      </c>
      <c r="E69" s="439" t="s">
        <v>702</v>
      </c>
      <c r="F69" s="520" t="s">
        <v>342</v>
      </c>
      <c r="G69" s="521">
        <v>1</v>
      </c>
      <c r="H69" s="522">
        <v>0</v>
      </c>
      <c r="I69" s="489">
        <f>G69*H69</f>
        <v>0</v>
      </c>
      <c r="J69" s="489"/>
      <c r="K69" s="437">
        <f>SUM(I69:J69)</f>
        <v>0</v>
      </c>
      <c r="L69" s="667">
        <f>0.21*K69</f>
        <v>0</v>
      </c>
    </row>
    <row r="70" spans="1:12" ht="25.5" customHeight="1">
      <c r="A70" s="688"/>
      <c r="B70" s="546"/>
      <c r="C70" s="562"/>
      <c r="D70" s="563"/>
      <c r="E70" s="516"/>
      <c r="F70" s="547"/>
      <c r="G70" s="548"/>
      <c r="H70" s="549"/>
      <c r="I70" s="507"/>
      <c r="J70" s="507"/>
      <c r="K70" s="507"/>
      <c r="L70" s="674"/>
    </row>
    <row r="71" spans="1:12" ht="12.75">
      <c r="A71" s="668"/>
      <c r="B71" s="552"/>
      <c r="C71" s="553" t="s">
        <v>992</v>
      </c>
      <c r="D71" s="564" t="s">
        <v>703</v>
      </c>
      <c r="E71" s="565"/>
      <c r="F71" s="556"/>
      <c r="G71" s="557"/>
      <c r="H71" s="558"/>
      <c r="I71" s="502"/>
      <c r="J71" s="502"/>
      <c r="K71" s="440"/>
      <c r="L71" s="671"/>
    </row>
    <row r="72" spans="1:12" ht="22.5" customHeight="1">
      <c r="A72" s="612">
        <v>34</v>
      </c>
      <c r="B72" s="518" t="s">
        <v>171</v>
      </c>
      <c r="C72" s="559"/>
      <c r="D72" s="561" t="s">
        <v>704</v>
      </c>
      <c r="E72" s="439" t="s">
        <v>705</v>
      </c>
      <c r="F72" s="520" t="s">
        <v>342</v>
      </c>
      <c r="G72" s="521">
        <v>1</v>
      </c>
      <c r="H72" s="522">
        <v>0</v>
      </c>
      <c r="I72" s="489">
        <f>G72*H72</f>
        <v>0</v>
      </c>
      <c r="J72" s="489"/>
      <c r="K72" s="437">
        <f>SUM(I72:J72)</f>
        <v>0</v>
      </c>
      <c r="L72" s="667">
        <f>0.21*K72</f>
        <v>0</v>
      </c>
    </row>
    <row r="73" spans="1:12" ht="12.75" customHeight="1">
      <c r="A73" s="685"/>
      <c r="B73" s="546"/>
      <c r="C73" s="566"/>
      <c r="D73" s="567"/>
      <c r="E73" s="513"/>
      <c r="F73" s="547"/>
      <c r="G73" s="548"/>
      <c r="H73" s="549"/>
      <c r="I73" s="507"/>
      <c r="J73" s="507"/>
      <c r="K73" s="514"/>
      <c r="L73" s="686"/>
    </row>
    <row r="74" spans="1:12" ht="14.25" customHeight="1">
      <c r="A74" s="668"/>
      <c r="B74" s="552"/>
      <c r="C74" s="568" t="s">
        <v>993</v>
      </c>
      <c r="D74" s="569" t="s">
        <v>680</v>
      </c>
      <c r="E74" s="438"/>
      <c r="F74" s="556"/>
      <c r="G74" s="557"/>
      <c r="H74" s="558"/>
      <c r="I74" s="502"/>
      <c r="J74" s="502"/>
      <c r="K74" s="502"/>
      <c r="L74" s="687"/>
    </row>
    <row r="75" spans="1:12" ht="26.25" customHeight="1">
      <c r="A75" s="612">
        <v>35</v>
      </c>
      <c r="B75" s="518" t="s">
        <v>171</v>
      </c>
      <c r="C75" s="519"/>
      <c r="D75" s="570" t="s">
        <v>681</v>
      </c>
      <c r="E75" s="434" t="s">
        <v>682</v>
      </c>
      <c r="F75" s="520" t="s">
        <v>342</v>
      </c>
      <c r="G75" s="521">
        <v>1</v>
      </c>
      <c r="H75" s="489">
        <v>0</v>
      </c>
      <c r="I75" s="489">
        <f>G75*H75</f>
        <v>0</v>
      </c>
      <c r="J75" s="489"/>
      <c r="K75" s="437">
        <f>SUM(I75:J75)</f>
        <v>0</v>
      </c>
      <c r="L75" s="667">
        <f>0.21*K75</f>
        <v>0</v>
      </c>
    </row>
    <row r="76" spans="1:12" ht="12.75">
      <c r="A76" s="688"/>
      <c r="B76" s="546"/>
      <c r="C76" s="571"/>
      <c r="D76" s="572"/>
      <c r="E76" s="351"/>
      <c r="F76" s="547"/>
      <c r="G76" s="548"/>
      <c r="H76" s="549"/>
      <c r="I76" s="507"/>
      <c r="J76" s="507"/>
      <c r="K76" s="507"/>
      <c r="L76" s="674"/>
    </row>
    <row r="77" spans="1:12" ht="18" customHeight="1">
      <c r="A77" s="668"/>
      <c r="B77" s="552"/>
      <c r="C77" s="573" t="s">
        <v>994</v>
      </c>
      <c r="D77" s="569" t="s">
        <v>683</v>
      </c>
      <c r="E77" s="574"/>
      <c r="F77" s="556"/>
      <c r="G77" s="557"/>
      <c r="H77" s="558"/>
      <c r="I77" s="502"/>
      <c r="J77" s="502"/>
      <c r="K77" s="502"/>
      <c r="L77" s="687"/>
    </row>
    <row r="78" spans="1:12" ht="19.5" customHeight="1">
      <c r="A78" s="612">
        <v>36</v>
      </c>
      <c r="B78" s="518" t="s">
        <v>171</v>
      </c>
      <c r="C78" s="519"/>
      <c r="D78" s="575" t="s">
        <v>684</v>
      </c>
      <c r="E78" s="434" t="s">
        <v>685</v>
      </c>
      <c r="F78" s="520" t="s">
        <v>342</v>
      </c>
      <c r="G78" s="521">
        <v>1</v>
      </c>
      <c r="H78" s="489">
        <v>0</v>
      </c>
      <c r="I78" s="489">
        <f>G78*H78</f>
        <v>0</v>
      </c>
      <c r="J78" s="489"/>
      <c r="K78" s="437">
        <f>SUM(I78:J78)</f>
        <v>0</v>
      </c>
      <c r="L78" s="667">
        <f>0.21*K78</f>
        <v>0</v>
      </c>
    </row>
    <row r="79" spans="1:12" ht="12.75">
      <c r="A79" s="668"/>
      <c r="B79" s="552"/>
      <c r="C79" s="634" t="s">
        <v>1011</v>
      </c>
      <c r="D79" s="624" t="s">
        <v>1012</v>
      </c>
      <c r="E79" s="574"/>
      <c r="F79" s="556"/>
      <c r="G79" s="557"/>
      <c r="H79" s="558"/>
      <c r="I79" s="502"/>
      <c r="J79" s="502"/>
      <c r="K79" s="502"/>
      <c r="L79" s="687"/>
    </row>
    <row r="80" spans="1:12" ht="15" customHeight="1">
      <c r="A80" s="612">
        <v>37</v>
      </c>
      <c r="B80" s="518" t="s">
        <v>171</v>
      </c>
      <c r="C80" s="559"/>
      <c r="D80" s="625" t="s">
        <v>1013</v>
      </c>
      <c r="E80" s="434" t="s">
        <v>685</v>
      </c>
      <c r="F80" s="520" t="s">
        <v>274</v>
      </c>
      <c r="G80" s="521">
        <v>1</v>
      </c>
      <c r="H80" s="489">
        <v>0</v>
      </c>
      <c r="I80" s="489">
        <f>G80*H80</f>
        <v>0</v>
      </c>
      <c r="J80" s="489"/>
      <c r="K80" s="437">
        <f>SUM(I80:J80)</f>
        <v>0</v>
      </c>
      <c r="L80" s="667">
        <f>0.21*K80</f>
        <v>0</v>
      </c>
    </row>
    <row r="81" spans="1:12" ht="12.75">
      <c r="A81" s="660"/>
      <c r="B81" s="576"/>
      <c r="C81" s="577"/>
      <c r="D81" s="578"/>
      <c r="E81" s="579"/>
      <c r="F81" s="547"/>
      <c r="G81" s="548"/>
      <c r="H81" s="507"/>
      <c r="I81" s="507"/>
      <c r="J81" s="507"/>
      <c r="K81" s="580"/>
      <c r="L81" s="678"/>
    </row>
    <row r="82" spans="1:12" ht="12.75">
      <c r="A82" s="688"/>
      <c r="B82" s="546"/>
      <c r="C82" s="562"/>
      <c r="D82" s="563"/>
      <c r="E82" s="351"/>
      <c r="F82" s="547"/>
      <c r="G82" s="548"/>
      <c r="H82" s="549"/>
      <c r="I82" s="507"/>
      <c r="J82" s="507"/>
      <c r="K82" s="507"/>
      <c r="L82" s="674"/>
    </row>
    <row r="83" spans="1:12" ht="15.75" customHeight="1">
      <c r="A83" s="672"/>
      <c r="B83" s="689"/>
      <c r="C83" s="690" t="s">
        <v>1007</v>
      </c>
      <c r="D83" s="690" t="s">
        <v>124</v>
      </c>
      <c r="E83" s="690"/>
      <c r="F83" s="690" t="s">
        <v>1007</v>
      </c>
      <c r="G83" s="691"/>
      <c r="H83" s="692"/>
      <c r="I83" s="692"/>
      <c r="J83" s="692"/>
      <c r="K83" s="691">
        <f>K9</f>
        <v>0</v>
      </c>
      <c r="L83" s="693">
        <f>L9</f>
        <v>0</v>
      </c>
    </row>
    <row r="84" spans="7:12" ht="12.75">
      <c r="G84" s="352"/>
      <c r="H84" s="349"/>
      <c r="I84" s="349"/>
      <c r="J84" s="349"/>
      <c r="K84" s="349"/>
      <c r="L84" s="349"/>
    </row>
    <row r="85" spans="7:12" ht="12.75">
      <c r="G85" s="352"/>
      <c r="H85" s="349"/>
      <c r="I85" s="349"/>
      <c r="J85" s="349"/>
      <c r="K85" s="349"/>
      <c r="L85" s="349"/>
    </row>
    <row r="86" spans="7:12" ht="12.75">
      <c r="G86" s="352"/>
      <c r="H86" s="349"/>
      <c r="I86" s="349"/>
      <c r="J86" s="349"/>
      <c r="K86" s="349"/>
      <c r="L86" s="349"/>
    </row>
    <row r="87" spans="7:12" ht="12.75">
      <c r="G87" s="352"/>
      <c r="H87" s="349"/>
      <c r="I87" s="349"/>
      <c r="J87" s="349"/>
      <c r="K87" s="349"/>
      <c r="L87" s="349"/>
    </row>
    <row r="88" spans="7:12" ht="12.75">
      <c r="G88" s="352"/>
      <c r="H88" s="349"/>
      <c r="I88" s="349"/>
      <c r="J88" s="349"/>
      <c r="K88" s="349"/>
      <c r="L88" s="349"/>
    </row>
    <row r="89" spans="7:12" ht="12.75">
      <c r="G89" s="352"/>
      <c r="H89" s="349"/>
      <c r="I89" s="349"/>
      <c r="J89" s="349"/>
      <c r="K89" s="349"/>
      <c r="L89" s="349"/>
    </row>
    <row r="90" spans="7:12" ht="12.75">
      <c r="G90" s="352"/>
      <c r="H90" s="349"/>
      <c r="I90" s="349"/>
      <c r="J90" s="349"/>
      <c r="K90" s="349"/>
      <c r="L90" s="349"/>
    </row>
    <row r="91" spans="7:12" ht="12.75">
      <c r="G91" s="352"/>
      <c r="H91" s="349"/>
      <c r="I91" s="349"/>
      <c r="J91" s="349"/>
      <c r="K91" s="349"/>
      <c r="L91" s="349"/>
    </row>
    <row r="92" spans="7:12" ht="12.75">
      <c r="G92" s="352"/>
      <c r="H92" s="349"/>
      <c r="I92" s="349"/>
      <c r="J92" s="349"/>
      <c r="K92" s="349"/>
      <c r="L92" s="349"/>
    </row>
    <row r="93" spans="7:12" ht="12.75">
      <c r="G93" s="352"/>
      <c r="H93" s="349"/>
      <c r="I93" s="349"/>
      <c r="J93" s="349"/>
      <c r="K93" s="349"/>
      <c r="L93" s="349"/>
    </row>
    <row r="94" spans="7:12" ht="12.75">
      <c r="G94" s="352"/>
      <c r="H94" s="349"/>
      <c r="I94" s="349"/>
      <c r="J94" s="349"/>
      <c r="K94" s="349"/>
      <c r="L94" s="349"/>
    </row>
    <row r="95" spans="7:12" ht="12.75">
      <c r="G95" s="352"/>
      <c r="H95" s="349"/>
      <c r="I95" s="349"/>
      <c r="J95" s="349"/>
      <c r="K95" s="349"/>
      <c r="L95" s="349"/>
    </row>
    <row r="96" spans="7:12" ht="12.75">
      <c r="G96" s="352"/>
      <c r="H96" s="349"/>
      <c r="I96" s="349"/>
      <c r="J96" s="349"/>
      <c r="K96" s="349"/>
      <c r="L96" s="349"/>
    </row>
    <row r="97" spans="7:12" ht="12.75">
      <c r="G97" s="352"/>
      <c r="H97" s="349"/>
      <c r="I97" s="349"/>
      <c r="J97" s="349"/>
      <c r="K97" s="349"/>
      <c r="L97" s="349"/>
    </row>
    <row r="98" spans="7:12" ht="12.75">
      <c r="G98" s="352"/>
      <c r="H98" s="349"/>
      <c r="I98" s="349"/>
      <c r="J98" s="349"/>
      <c r="K98" s="349"/>
      <c r="L98" s="349"/>
    </row>
    <row r="99" spans="7:12" ht="12.75">
      <c r="G99" s="352"/>
      <c r="H99" s="349"/>
      <c r="I99" s="349"/>
      <c r="J99" s="349"/>
      <c r="K99" s="349"/>
      <c r="L99" s="349"/>
    </row>
    <row r="100" spans="7:12" ht="12.75">
      <c r="G100" s="352"/>
      <c r="H100" s="349"/>
      <c r="I100" s="349"/>
      <c r="J100" s="349"/>
      <c r="K100" s="349"/>
      <c r="L100" s="349"/>
    </row>
    <row r="101" spans="7:12" ht="12.75">
      <c r="G101" s="352"/>
      <c r="H101" s="349"/>
      <c r="I101" s="349"/>
      <c r="J101" s="349"/>
      <c r="K101" s="349"/>
      <c r="L101" s="349"/>
    </row>
    <row r="102" spans="7:12" ht="12.75">
      <c r="G102" s="352"/>
      <c r="H102" s="349"/>
      <c r="I102" s="349"/>
      <c r="J102" s="349"/>
      <c r="K102" s="349"/>
      <c r="L102" s="349"/>
    </row>
    <row r="103" spans="7:12" ht="12.75">
      <c r="G103" s="352"/>
      <c r="H103" s="349"/>
      <c r="I103" s="349"/>
      <c r="J103" s="349"/>
      <c r="K103" s="349"/>
      <c r="L103" s="349"/>
    </row>
    <row r="104" spans="7:12" ht="12.75">
      <c r="G104" s="352"/>
      <c r="H104" s="349"/>
      <c r="I104" s="349"/>
      <c r="J104" s="349"/>
      <c r="K104" s="349"/>
      <c r="L104" s="349"/>
    </row>
    <row r="105" spans="7:12" ht="12.75">
      <c r="G105" s="352"/>
      <c r="H105" s="349"/>
      <c r="I105" s="349"/>
      <c r="J105" s="349"/>
      <c r="K105" s="349"/>
      <c r="L105" s="349"/>
    </row>
    <row r="106" spans="7:12" ht="12.75">
      <c r="G106" s="352"/>
      <c r="H106" s="349"/>
      <c r="I106" s="349"/>
      <c r="J106" s="349"/>
      <c r="K106" s="349"/>
      <c r="L106" s="349"/>
    </row>
    <row r="107" spans="7:12" ht="12.75">
      <c r="G107" s="352"/>
      <c r="H107" s="349"/>
      <c r="I107" s="349"/>
      <c r="J107" s="349"/>
      <c r="K107" s="349"/>
      <c r="L107" s="349"/>
    </row>
    <row r="108" spans="7:12" ht="12.75">
      <c r="G108" s="352"/>
      <c r="H108" s="349"/>
      <c r="I108" s="349"/>
      <c r="J108" s="349"/>
      <c r="K108" s="349"/>
      <c r="L108" s="349"/>
    </row>
    <row r="109" spans="7:12" ht="12.75">
      <c r="G109" s="352"/>
      <c r="H109" s="349"/>
      <c r="I109" s="349"/>
      <c r="J109" s="349"/>
      <c r="K109" s="349"/>
      <c r="L109" s="349"/>
    </row>
    <row r="110" spans="7:12" ht="12.75">
      <c r="G110" s="352"/>
      <c r="H110" s="349"/>
      <c r="I110" s="349"/>
      <c r="J110" s="349"/>
      <c r="K110" s="349"/>
      <c r="L110" s="349"/>
    </row>
    <row r="111" spans="7:12" ht="12.75">
      <c r="G111" s="352"/>
      <c r="H111" s="349"/>
      <c r="I111" s="349"/>
      <c r="J111" s="349"/>
      <c r="K111" s="349"/>
      <c r="L111" s="349"/>
    </row>
    <row r="112" spans="7:12" ht="12.75">
      <c r="G112" s="352"/>
      <c r="H112" s="349"/>
      <c r="I112" s="349"/>
      <c r="J112" s="349"/>
      <c r="K112" s="349"/>
      <c r="L112" s="349"/>
    </row>
    <row r="113" spans="7:12" ht="12.75">
      <c r="G113" s="352"/>
      <c r="H113" s="349"/>
      <c r="I113" s="349"/>
      <c r="J113" s="349"/>
      <c r="K113" s="349"/>
      <c r="L113" s="349"/>
    </row>
    <row r="114" spans="7:12" ht="12.75">
      <c r="G114" s="352"/>
      <c r="H114" s="349"/>
      <c r="I114" s="349"/>
      <c r="J114" s="349"/>
      <c r="K114" s="349"/>
      <c r="L114" s="349"/>
    </row>
    <row r="115" spans="7:12" ht="12.75">
      <c r="G115" s="352"/>
      <c r="H115" s="349"/>
      <c r="I115" s="349"/>
      <c r="J115" s="349"/>
      <c r="K115" s="349"/>
      <c r="L115" s="349"/>
    </row>
    <row r="116" spans="7:12" ht="12.75">
      <c r="G116" s="352"/>
      <c r="H116" s="349"/>
      <c r="I116" s="349"/>
      <c r="J116" s="349"/>
      <c r="K116" s="349"/>
      <c r="L116" s="349"/>
    </row>
    <row r="117" spans="7:12" ht="12.75">
      <c r="G117" s="352"/>
      <c r="H117" s="349"/>
      <c r="I117" s="349"/>
      <c r="J117" s="349"/>
      <c r="K117" s="349"/>
      <c r="L117" s="349"/>
    </row>
    <row r="118" spans="7:12" ht="12.75">
      <c r="G118" s="352"/>
      <c r="H118" s="349"/>
      <c r="I118" s="349"/>
      <c r="J118" s="349"/>
      <c r="K118" s="349"/>
      <c r="L118" s="349"/>
    </row>
    <row r="119" spans="7:12" ht="12.75">
      <c r="G119" s="352"/>
      <c r="H119" s="349"/>
      <c r="I119" s="349"/>
      <c r="J119" s="349"/>
      <c r="K119" s="349"/>
      <c r="L119" s="349"/>
    </row>
    <row r="120" spans="7:12" ht="12.75">
      <c r="G120" s="352"/>
      <c r="H120" s="349"/>
      <c r="I120" s="349"/>
      <c r="J120" s="349"/>
      <c r="K120" s="349"/>
      <c r="L120" s="349"/>
    </row>
    <row r="121" spans="7:12" ht="12.75">
      <c r="G121" s="352"/>
      <c r="H121" s="349"/>
      <c r="I121" s="349"/>
      <c r="J121" s="349"/>
      <c r="K121" s="349"/>
      <c r="L121" s="349"/>
    </row>
    <row r="122" spans="7:12" ht="12.75">
      <c r="G122" s="352"/>
      <c r="H122" s="349"/>
      <c r="I122" s="349"/>
      <c r="J122" s="349"/>
      <c r="K122" s="349"/>
      <c r="L122" s="349"/>
    </row>
    <row r="123" spans="7:12" ht="12.75">
      <c r="G123" s="352"/>
      <c r="H123" s="349"/>
      <c r="I123" s="349"/>
      <c r="J123" s="349"/>
      <c r="K123" s="349"/>
      <c r="L123" s="349"/>
    </row>
    <row r="124" spans="7:12" ht="12.75">
      <c r="G124" s="352"/>
      <c r="H124" s="349"/>
      <c r="I124" s="349"/>
      <c r="J124" s="349"/>
      <c r="K124" s="349"/>
      <c r="L124" s="349"/>
    </row>
    <row r="125" spans="7:12" ht="12.75">
      <c r="G125" s="352"/>
      <c r="H125" s="349"/>
      <c r="I125" s="349"/>
      <c r="J125" s="349"/>
      <c r="K125" s="349"/>
      <c r="L125" s="349"/>
    </row>
    <row r="126" spans="7:12" ht="12.75">
      <c r="G126" s="352"/>
      <c r="H126" s="349"/>
      <c r="I126" s="349"/>
      <c r="J126" s="349"/>
      <c r="K126" s="349"/>
      <c r="L126" s="349"/>
    </row>
    <row r="127" spans="7:12" ht="12.75">
      <c r="G127" s="352"/>
      <c r="H127" s="349"/>
      <c r="I127" s="349"/>
      <c r="J127" s="349"/>
      <c r="K127" s="349"/>
      <c r="L127" s="349"/>
    </row>
    <row r="128" spans="7:12" ht="12.75">
      <c r="G128" s="352"/>
      <c r="H128" s="349"/>
      <c r="I128" s="349"/>
      <c r="J128" s="349"/>
      <c r="K128" s="349"/>
      <c r="L128" s="349"/>
    </row>
    <row r="129" spans="7:12" ht="12.75">
      <c r="G129" s="352"/>
      <c r="H129" s="349"/>
      <c r="I129" s="349"/>
      <c r="J129" s="349"/>
      <c r="K129" s="349"/>
      <c r="L129" s="349"/>
    </row>
    <row r="130" spans="7:12" ht="12.75">
      <c r="G130" s="352"/>
      <c r="H130" s="349"/>
      <c r="I130" s="349"/>
      <c r="J130" s="349"/>
      <c r="K130" s="349"/>
      <c r="L130" s="349"/>
    </row>
    <row r="131" spans="7:12" ht="12.75">
      <c r="G131" s="352"/>
      <c r="H131" s="349"/>
      <c r="I131" s="349"/>
      <c r="J131" s="349"/>
      <c r="K131" s="349"/>
      <c r="L131" s="349"/>
    </row>
    <row r="132" spans="7:12" ht="12.75">
      <c r="G132" s="352"/>
      <c r="H132" s="349"/>
      <c r="I132" s="349"/>
      <c r="J132" s="349"/>
      <c r="K132" s="349"/>
      <c r="L132" s="349"/>
    </row>
    <row r="133" spans="7:12" ht="12.75">
      <c r="G133" s="352"/>
      <c r="H133" s="349"/>
      <c r="I133" s="349"/>
      <c r="J133" s="349"/>
      <c r="K133" s="349"/>
      <c r="L133" s="349"/>
    </row>
    <row r="134" spans="7:12" ht="12.75">
      <c r="G134" s="352"/>
      <c r="H134" s="349"/>
      <c r="I134" s="349"/>
      <c r="J134" s="349"/>
      <c r="K134" s="349"/>
      <c r="L134" s="349"/>
    </row>
    <row r="135" spans="7:12" ht="12.75">
      <c r="G135" s="352"/>
      <c r="H135" s="349"/>
      <c r="I135" s="349"/>
      <c r="J135" s="349"/>
      <c r="K135" s="349"/>
      <c r="L135" s="349"/>
    </row>
    <row r="136" spans="7:12" ht="12.75">
      <c r="G136" s="352"/>
      <c r="H136" s="349"/>
      <c r="I136" s="349"/>
      <c r="J136" s="349"/>
      <c r="K136" s="349"/>
      <c r="L136" s="349"/>
    </row>
    <row r="137" spans="7:12" ht="12.75">
      <c r="G137" s="352"/>
      <c r="H137" s="349"/>
      <c r="I137" s="349"/>
      <c r="J137" s="349"/>
      <c r="K137" s="349"/>
      <c r="L137" s="349"/>
    </row>
    <row r="138" spans="7:12" ht="12.75">
      <c r="G138" s="352"/>
      <c r="H138" s="349"/>
      <c r="I138" s="349"/>
      <c r="J138" s="349"/>
      <c r="K138" s="349"/>
      <c r="L138" s="349"/>
    </row>
    <row r="139" spans="7:12" ht="12.75">
      <c r="G139" s="352"/>
      <c r="H139" s="349"/>
      <c r="I139" s="349"/>
      <c r="J139" s="349"/>
      <c r="K139" s="349"/>
      <c r="L139" s="349"/>
    </row>
    <row r="140" spans="7:12" ht="12.75">
      <c r="G140" s="352"/>
      <c r="H140" s="349"/>
      <c r="I140" s="349"/>
      <c r="J140" s="349"/>
      <c r="K140" s="349"/>
      <c r="L140" s="349"/>
    </row>
    <row r="141" spans="7:12" ht="12.75">
      <c r="G141" s="352"/>
      <c r="H141" s="349"/>
      <c r="I141" s="349"/>
      <c r="J141" s="349"/>
      <c r="K141" s="349"/>
      <c r="L141" s="349"/>
    </row>
    <row r="142" spans="7:12" ht="12.75">
      <c r="G142" s="352"/>
      <c r="H142" s="349"/>
      <c r="I142" s="349"/>
      <c r="J142" s="349"/>
      <c r="K142" s="349"/>
      <c r="L142" s="349"/>
    </row>
    <row r="143" spans="7:12" ht="12.75">
      <c r="G143" s="352"/>
      <c r="H143" s="349"/>
      <c r="I143" s="349"/>
      <c r="J143" s="349"/>
      <c r="K143" s="349"/>
      <c r="L143" s="349"/>
    </row>
    <row r="144" spans="7:12" ht="12.75">
      <c r="G144" s="352"/>
      <c r="H144" s="349"/>
      <c r="I144" s="349"/>
      <c r="J144" s="349"/>
      <c r="K144" s="349"/>
      <c r="L144" s="349"/>
    </row>
    <row r="145" spans="7:12" ht="12.75">
      <c r="G145" s="352"/>
      <c r="H145" s="349"/>
      <c r="I145" s="349"/>
      <c r="J145" s="349"/>
      <c r="K145" s="349"/>
      <c r="L145" s="349"/>
    </row>
    <row r="146" spans="7:12" ht="12.75">
      <c r="G146" s="352"/>
      <c r="H146" s="349"/>
      <c r="I146" s="349"/>
      <c r="J146" s="349"/>
      <c r="K146" s="349"/>
      <c r="L146" s="349"/>
    </row>
    <row r="147" spans="7:12" ht="12.75">
      <c r="G147" s="352"/>
      <c r="H147" s="349"/>
      <c r="I147" s="349"/>
      <c r="J147" s="349"/>
      <c r="K147" s="349"/>
      <c r="L147" s="349"/>
    </row>
    <row r="148" spans="7:12" ht="12.75">
      <c r="G148" s="352"/>
      <c r="H148" s="349"/>
      <c r="I148" s="349"/>
      <c r="J148" s="349"/>
      <c r="K148" s="349"/>
      <c r="L148" s="349"/>
    </row>
    <row r="149" spans="7:12" ht="12.75">
      <c r="G149" s="352"/>
      <c r="H149" s="349"/>
      <c r="I149" s="349"/>
      <c r="J149" s="349"/>
      <c r="K149" s="349"/>
      <c r="L149" s="349"/>
    </row>
    <row r="150" spans="7:12" ht="12.75">
      <c r="G150" s="352"/>
      <c r="H150" s="349"/>
      <c r="I150" s="349"/>
      <c r="J150" s="349"/>
      <c r="K150" s="349"/>
      <c r="L150" s="349"/>
    </row>
    <row r="151" spans="7:12" ht="12.75">
      <c r="G151" s="352"/>
      <c r="H151" s="349"/>
      <c r="I151" s="349"/>
      <c r="J151" s="349"/>
      <c r="K151" s="349"/>
      <c r="L151" s="349"/>
    </row>
    <row r="152" spans="7:12" ht="12.75">
      <c r="G152" s="352"/>
      <c r="H152" s="349"/>
      <c r="I152" s="349"/>
      <c r="J152" s="349"/>
      <c r="K152" s="349"/>
      <c r="L152" s="349"/>
    </row>
    <row r="153" spans="7:12" ht="12.75">
      <c r="G153" s="352"/>
      <c r="H153" s="349"/>
      <c r="I153" s="349"/>
      <c r="J153" s="349"/>
      <c r="K153" s="349"/>
      <c r="L153" s="349"/>
    </row>
    <row r="154" spans="7:12" ht="12.75">
      <c r="G154" s="352"/>
      <c r="H154" s="349"/>
      <c r="I154" s="349"/>
      <c r="J154" s="349"/>
      <c r="K154" s="349"/>
      <c r="L154" s="349"/>
    </row>
    <row r="155" spans="7:12" ht="12.75">
      <c r="G155" s="352"/>
      <c r="H155" s="349"/>
      <c r="I155" s="349"/>
      <c r="J155" s="349"/>
      <c r="K155" s="349"/>
      <c r="L155" s="349"/>
    </row>
    <row r="156" spans="7:12" ht="12.75">
      <c r="G156" s="352"/>
      <c r="H156" s="349"/>
      <c r="I156" s="349"/>
      <c r="J156" s="349"/>
      <c r="K156" s="349"/>
      <c r="L156" s="349"/>
    </row>
    <row r="157" spans="7:12" ht="12.75">
      <c r="G157" s="352"/>
      <c r="H157" s="349"/>
      <c r="I157" s="349"/>
      <c r="J157" s="349"/>
      <c r="K157" s="349"/>
      <c r="L157" s="349"/>
    </row>
    <row r="158" spans="7:12" ht="12.75">
      <c r="G158" s="352"/>
      <c r="H158" s="349"/>
      <c r="I158" s="349"/>
      <c r="J158" s="349"/>
      <c r="K158" s="349"/>
      <c r="L158" s="349"/>
    </row>
    <row r="159" spans="7:12" ht="12.75">
      <c r="G159" s="352"/>
      <c r="H159" s="349"/>
      <c r="I159" s="349"/>
      <c r="J159" s="349"/>
      <c r="K159" s="349"/>
      <c r="L159" s="349"/>
    </row>
    <row r="160" spans="7:12" ht="12.75">
      <c r="G160" s="352"/>
      <c r="H160" s="349"/>
      <c r="I160" s="349"/>
      <c r="J160" s="349"/>
      <c r="K160" s="349"/>
      <c r="L160" s="349"/>
    </row>
    <row r="161" spans="7:12" ht="12.75">
      <c r="G161" s="352"/>
      <c r="H161" s="349"/>
      <c r="I161" s="349"/>
      <c r="J161" s="349"/>
      <c r="K161" s="349"/>
      <c r="L161" s="349"/>
    </row>
    <row r="162" spans="7:12" ht="12.75">
      <c r="G162" s="352"/>
      <c r="H162" s="349"/>
      <c r="I162" s="349"/>
      <c r="J162" s="349"/>
      <c r="K162" s="349"/>
      <c r="L162" s="349"/>
    </row>
    <row r="163" spans="7:12" ht="12.75">
      <c r="G163" s="352"/>
      <c r="H163" s="349"/>
      <c r="I163" s="349"/>
      <c r="J163" s="349"/>
      <c r="K163" s="349"/>
      <c r="L163" s="349"/>
    </row>
    <row r="164" spans="7:12" ht="12.75">
      <c r="G164" s="352"/>
      <c r="H164" s="349"/>
      <c r="I164" s="349"/>
      <c r="J164" s="349"/>
      <c r="K164" s="349"/>
      <c r="L164" s="349"/>
    </row>
    <row r="165" spans="7:12" ht="12.75">
      <c r="G165" s="352"/>
      <c r="H165" s="349"/>
      <c r="I165" s="349"/>
      <c r="J165" s="349"/>
      <c r="K165" s="349"/>
      <c r="L165" s="349"/>
    </row>
    <row r="166" spans="7:12" ht="12.75">
      <c r="G166" s="352"/>
      <c r="H166" s="349"/>
      <c r="I166" s="349"/>
      <c r="J166" s="349"/>
      <c r="K166" s="349"/>
      <c r="L166" s="349"/>
    </row>
    <row r="167" spans="7:12" ht="12.75">
      <c r="G167" s="352"/>
      <c r="H167" s="349"/>
      <c r="I167" s="349"/>
      <c r="J167" s="349"/>
      <c r="K167" s="349"/>
      <c r="L167" s="349"/>
    </row>
    <row r="168" spans="7:12" ht="12.75">
      <c r="G168" s="352"/>
      <c r="H168" s="349"/>
      <c r="I168" s="349"/>
      <c r="J168" s="349"/>
      <c r="K168" s="349"/>
      <c r="L168" s="349"/>
    </row>
    <row r="169" spans="7:12" ht="12.75">
      <c r="G169" s="352"/>
      <c r="H169" s="349"/>
      <c r="I169" s="349"/>
      <c r="J169" s="349"/>
      <c r="K169" s="349"/>
      <c r="L169" s="349"/>
    </row>
    <row r="170" spans="7:12" ht="12.75">
      <c r="G170" s="352"/>
      <c r="H170" s="349"/>
      <c r="I170" s="349"/>
      <c r="J170" s="349"/>
      <c r="K170" s="349"/>
      <c r="L170" s="349"/>
    </row>
    <row r="171" spans="7:12" ht="12.75">
      <c r="G171" s="352"/>
      <c r="H171" s="349"/>
      <c r="I171" s="349"/>
      <c r="J171" s="349"/>
      <c r="K171" s="349"/>
      <c r="L171" s="349"/>
    </row>
    <row r="172" spans="7:12" ht="12.75">
      <c r="G172" s="352"/>
      <c r="H172" s="349"/>
      <c r="I172" s="349"/>
      <c r="J172" s="349"/>
      <c r="K172" s="349"/>
      <c r="L172" s="349"/>
    </row>
    <row r="173" spans="7:12" ht="12.75">
      <c r="G173" s="352"/>
      <c r="H173" s="349"/>
      <c r="I173" s="349"/>
      <c r="J173" s="349"/>
      <c r="K173" s="349"/>
      <c r="L173" s="349"/>
    </row>
    <row r="174" spans="7:12" ht="12.75">
      <c r="G174" s="352"/>
      <c r="H174" s="349"/>
      <c r="I174" s="349"/>
      <c r="J174" s="349"/>
      <c r="K174" s="349"/>
      <c r="L174" s="349"/>
    </row>
    <row r="175" spans="7:12" ht="12.75">
      <c r="G175" s="352"/>
      <c r="H175" s="349"/>
      <c r="I175" s="349"/>
      <c r="J175" s="349"/>
      <c r="K175" s="349"/>
      <c r="L175" s="349"/>
    </row>
    <row r="176" spans="7:12" ht="12.75">
      <c r="G176" s="352"/>
      <c r="H176" s="349"/>
      <c r="I176" s="349"/>
      <c r="J176" s="349"/>
      <c r="K176" s="349"/>
      <c r="L176" s="349"/>
    </row>
    <row r="177" spans="7:12" ht="12.75">
      <c r="G177" s="352"/>
      <c r="H177" s="349"/>
      <c r="I177" s="349"/>
      <c r="J177" s="349"/>
      <c r="K177" s="349"/>
      <c r="L177" s="349"/>
    </row>
    <row r="178" spans="7:12" ht="12.75">
      <c r="G178" s="352"/>
      <c r="H178" s="349"/>
      <c r="I178" s="349"/>
      <c r="J178" s="349"/>
      <c r="K178" s="349"/>
      <c r="L178" s="349"/>
    </row>
    <row r="179" spans="7:12" ht="12.75">
      <c r="G179" s="352"/>
      <c r="H179" s="349"/>
      <c r="I179" s="349"/>
      <c r="J179" s="349"/>
      <c r="K179" s="349"/>
      <c r="L179" s="349"/>
    </row>
    <row r="180" spans="7:12" ht="12.75">
      <c r="G180" s="352"/>
      <c r="H180" s="349"/>
      <c r="I180" s="349"/>
      <c r="J180" s="349"/>
      <c r="K180" s="349"/>
      <c r="L180" s="349"/>
    </row>
    <row r="181" spans="7:12" ht="12.75">
      <c r="G181" s="352"/>
      <c r="H181" s="349"/>
      <c r="I181" s="349"/>
      <c r="J181" s="349"/>
      <c r="K181" s="349"/>
      <c r="L181" s="349"/>
    </row>
    <row r="182" spans="7:12" ht="12.75">
      <c r="G182" s="352"/>
      <c r="H182" s="349"/>
      <c r="I182" s="349"/>
      <c r="J182" s="349"/>
      <c r="K182" s="349"/>
      <c r="L182" s="349"/>
    </row>
    <row r="183" spans="7:12" ht="12.75">
      <c r="G183" s="352"/>
      <c r="H183" s="349"/>
      <c r="I183" s="349"/>
      <c r="J183" s="349"/>
      <c r="K183" s="349"/>
      <c r="L183" s="349"/>
    </row>
    <row r="184" spans="7:12" ht="12.75">
      <c r="G184" s="352"/>
      <c r="H184" s="349"/>
      <c r="I184" s="349"/>
      <c r="J184" s="349"/>
      <c r="K184" s="349"/>
      <c r="L184" s="349"/>
    </row>
    <row r="185" spans="7:12" ht="12.75">
      <c r="G185" s="352"/>
      <c r="H185" s="349"/>
      <c r="I185" s="349"/>
      <c r="J185" s="349"/>
      <c r="K185" s="349"/>
      <c r="L185" s="349"/>
    </row>
    <row r="186" ht="12.75">
      <c r="G186" s="354"/>
    </row>
    <row r="187" ht="12.75">
      <c r="G187" s="354"/>
    </row>
    <row r="188" ht="12.75">
      <c r="G188" s="354"/>
    </row>
    <row r="189" ht="12.75">
      <c r="G189" s="354"/>
    </row>
    <row r="190" ht="12.75">
      <c r="G190" s="354"/>
    </row>
    <row r="191" ht="12.75">
      <c r="G191" s="354"/>
    </row>
    <row r="192" ht="12.75">
      <c r="G192" s="354"/>
    </row>
    <row r="193" ht="12.75">
      <c r="G193" s="354"/>
    </row>
    <row r="194" ht="12.75">
      <c r="G194" s="354"/>
    </row>
    <row r="195" ht="12.75">
      <c r="G195" s="354"/>
    </row>
    <row r="196" ht="12.75">
      <c r="G196" s="354"/>
    </row>
    <row r="197" ht="12.75">
      <c r="G197" s="354"/>
    </row>
    <row r="198" ht="12.75">
      <c r="G198" s="354"/>
    </row>
    <row r="199" ht="12.75">
      <c r="G199" s="354"/>
    </row>
    <row r="200" ht="12.75">
      <c r="G200" s="354"/>
    </row>
    <row r="201" ht="12.75">
      <c r="G201" s="354"/>
    </row>
    <row r="202" ht="12.75">
      <c r="G202" s="354"/>
    </row>
    <row r="203" ht="12.75">
      <c r="G203" s="354"/>
    </row>
    <row r="204" ht="12.75">
      <c r="G204" s="354"/>
    </row>
    <row r="205" ht="12.75">
      <c r="G205" s="354"/>
    </row>
    <row r="206" ht="12.75">
      <c r="G206" s="354"/>
    </row>
    <row r="207" ht="12.75">
      <c r="G207" s="354"/>
    </row>
    <row r="208" ht="12.75">
      <c r="G208" s="354"/>
    </row>
    <row r="209" ht="12.75">
      <c r="G209" s="354"/>
    </row>
    <row r="210" ht="12.75">
      <c r="G210" s="354"/>
    </row>
    <row r="211" ht="12.75">
      <c r="G211" s="354"/>
    </row>
    <row r="212" ht="12.75">
      <c r="G212" s="354"/>
    </row>
    <row r="213" ht="12.75">
      <c r="G213" s="354"/>
    </row>
    <row r="214" ht="12.75">
      <c r="G214" s="354"/>
    </row>
    <row r="215" ht="12.75">
      <c r="G215" s="354"/>
    </row>
    <row r="216" ht="12.75">
      <c r="G216" s="354"/>
    </row>
    <row r="217" ht="12.75">
      <c r="G217" s="354"/>
    </row>
    <row r="218" ht="12.75">
      <c r="G218" s="354"/>
    </row>
    <row r="219" ht="12.75">
      <c r="G219" s="354"/>
    </row>
    <row r="220" ht="12.75">
      <c r="G220" s="354"/>
    </row>
    <row r="221" ht="12.75">
      <c r="G221" s="354"/>
    </row>
    <row r="222" ht="12.75">
      <c r="G222" s="354"/>
    </row>
    <row r="223" ht="12.75">
      <c r="G223" s="354"/>
    </row>
    <row r="224" ht="12.75">
      <c r="G224" s="354"/>
    </row>
    <row r="225" ht="12.75">
      <c r="G225" s="354"/>
    </row>
    <row r="226" ht="12.75">
      <c r="G226" s="354"/>
    </row>
    <row r="227" ht="12.75">
      <c r="G227" s="354"/>
    </row>
    <row r="228" ht="12.75">
      <c r="G228" s="354"/>
    </row>
    <row r="229" ht="12.75">
      <c r="G229" s="354"/>
    </row>
    <row r="230" ht="12.75">
      <c r="G230" s="354"/>
    </row>
    <row r="231" ht="12.75">
      <c r="G231" s="354"/>
    </row>
    <row r="232" ht="12.75">
      <c r="G232" s="354"/>
    </row>
    <row r="233" ht="12.75">
      <c r="G233" s="354"/>
    </row>
    <row r="234" ht="12.75">
      <c r="G234" s="354"/>
    </row>
    <row r="235" ht="12.75">
      <c r="G235" s="354"/>
    </row>
    <row r="236" ht="12.75">
      <c r="G236" s="354"/>
    </row>
    <row r="237" ht="12.75">
      <c r="G237" s="354"/>
    </row>
    <row r="238" ht="12.75">
      <c r="G238" s="354"/>
    </row>
    <row r="239" ht="12.75">
      <c r="G239" s="354"/>
    </row>
    <row r="240" ht="12.75">
      <c r="G240" s="354"/>
    </row>
    <row r="241" ht="12.75">
      <c r="G241" s="354"/>
    </row>
    <row r="242" ht="12.75">
      <c r="G242" s="354"/>
    </row>
    <row r="243" ht="12.75">
      <c r="G243" s="354"/>
    </row>
    <row r="244" ht="12.75">
      <c r="G244" s="354"/>
    </row>
    <row r="245" ht="12.75">
      <c r="G245" s="354"/>
    </row>
    <row r="246" ht="12.75">
      <c r="G246" s="354"/>
    </row>
    <row r="247" ht="12.75">
      <c r="G247" s="354"/>
    </row>
    <row r="248" ht="12.75">
      <c r="G248" s="354"/>
    </row>
    <row r="249" ht="12.75">
      <c r="G249" s="354"/>
    </row>
    <row r="250" ht="12.75">
      <c r="G250" s="354"/>
    </row>
    <row r="251" ht="12.75">
      <c r="G251" s="354"/>
    </row>
    <row r="252" ht="12.75">
      <c r="G252" s="354"/>
    </row>
    <row r="253" ht="12.75">
      <c r="G253" s="354"/>
    </row>
    <row r="254" ht="12.75">
      <c r="G254" s="354"/>
    </row>
    <row r="255" ht="12.75">
      <c r="G255" s="354"/>
    </row>
    <row r="256" ht="12.75">
      <c r="G256" s="354"/>
    </row>
    <row r="257" ht="12.75">
      <c r="G257" s="354"/>
    </row>
    <row r="258" ht="12.75">
      <c r="G258" s="354"/>
    </row>
    <row r="259" ht="12.75">
      <c r="G259" s="354"/>
    </row>
    <row r="260" ht="12.75">
      <c r="G260" s="354"/>
    </row>
    <row r="261" ht="12.75">
      <c r="G261" s="354"/>
    </row>
    <row r="262" ht="12.75">
      <c r="G262" s="354"/>
    </row>
    <row r="263" ht="12.75">
      <c r="G263" s="354"/>
    </row>
    <row r="264" ht="12.75">
      <c r="G264" s="354"/>
    </row>
    <row r="265" ht="12.75">
      <c r="G265" s="354"/>
    </row>
    <row r="266" ht="12.75">
      <c r="G266" s="354"/>
    </row>
    <row r="267" ht="12.75">
      <c r="G267" s="354"/>
    </row>
  </sheetData>
  <sheetProtection/>
  <mergeCells count="1">
    <mergeCell ref="B6:C6"/>
  </mergeCells>
  <printOptions/>
  <pageMargins left="0.7086614173228347" right="0.7086614173228347" top="0.7874015748031497" bottom="0.7874015748031497" header="0.31496062992125984" footer="0.31496062992125984"/>
  <pageSetup fitToHeight="100" horizontalDpi="600" verticalDpi="600" orientation="landscape" paperSize="9" scale="96" r:id="rId1"/>
  <headerFooter>
    <oddFooter>&amp;CList &amp;A</oddFooter>
  </headerFooter>
  <rowBreaks count="2" manualBreakCount="2">
    <brk id="54" max="11" man="1"/>
    <brk id="7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'[1]Krycí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'[1]Krycí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'[1]Krycí list'!E9</f>
        <v>SO 01 Stoka RA DN 250</v>
      </c>
      <c r="C4" s="301"/>
      <c r="D4" s="299"/>
      <c r="E4" s="302"/>
    </row>
    <row r="5" spans="1:5" ht="12" customHeight="1">
      <c r="A5" s="299" t="s">
        <v>227</v>
      </c>
      <c r="B5" s="299" t="str">
        <f>'[1]Krycí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'[1]Krycí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'[1]Krycí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'[1]Rozpocet'!D14</f>
        <v>HSV</v>
      </c>
      <c r="B14" s="315" t="str">
        <f>'[1]Rozpocet'!E14</f>
        <v>Práce a dodávky HSV</v>
      </c>
      <c r="C14" s="316">
        <f>'[1]Rozpocet'!I14</f>
        <v>323786.12000000005</v>
      </c>
      <c r="D14" s="317">
        <f>'[1]Rozpocet'!K14</f>
        <v>114.24494969999999</v>
      </c>
      <c r="E14" s="317">
        <f>'[1]Rozpocet'!M14</f>
        <v>34.167680000000004</v>
      </c>
    </row>
    <row r="15" spans="1:5" s="318" customFormat="1" ht="12.75" customHeight="1">
      <c r="A15" s="319" t="str">
        <f>'[1]Rozpocet'!D15</f>
        <v>1</v>
      </c>
      <c r="B15" s="320" t="str">
        <f>'[1]Rozpocet'!E15</f>
        <v>Zemní práce</v>
      </c>
      <c r="C15" s="321">
        <f>'[1]Rozpocet'!I15</f>
        <v>179078.93</v>
      </c>
      <c r="D15" s="322">
        <f>'[1]Rozpocet'!K15</f>
        <v>107.90080694</v>
      </c>
      <c r="E15" s="322">
        <f>'[1]Rozpocet'!M15</f>
        <v>34.167680000000004</v>
      </c>
    </row>
    <row r="16" spans="1:5" s="318" customFormat="1" ht="12.75" customHeight="1">
      <c r="A16" s="319" t="str">
        <f>'[1]Rozpocet'!D34</f>
        <v>2</v>
      </c>
      <c r="B16" s="320" t="str">
        <f>'[1]Rozpocet'!E34</f>
        <v>Zakládání</v>
      </c>
      <c r="C16" s="321">
        <f>'[1]Rozpocet'!I34</f>
        <v>4968.4</v>
      </c>
      <c r="D16" s="322">
        <f>'[1]Rozpocet'!K34</f>
        <v>4.624181</v>
      </c>
      <c r="E16" s="322">
        <f>'[1]Rozpocet'!M34</f>
        <v>0</v>
      </c>
    </row>
    <row r="17" spans="1:5" s="318" customFormat="1" ht="12.75" customHeight="1">
      <c r="A17" s="319" t="str">
        <f>'[1]Rozpocet'!D37</f>
        <v>4</v>
      </c>
      <c r="B17" s="320" t="str">
        <f>'[1]Rozpocet'!E37</f>
        <v>Vodorovné konstrukce</v>
      </c>
      <c r="C17" s="321">
        <f>'[1]Rozpocet'!I37</f>
        <v>20879.120000000003</v>
      </c>
      <c r="D17" s="322">
        <f>'[1]Rozpocet'!K37</f>
        <v>0.07743676000000001</v>
      </c>
      <c r="E17" s="322">
        <f>'[1]Rozpocet'!M37</f>
        <v>0</v>
      </c>
    </row>
    <row r="18" spans="1:5" s="318" customFormat="1" ht="12.75" customHeight="1">
      <c r="A18" s="319" t="str">
        <f>'[1]Rozpocet'!D41</f>
        <v>5</v>
      </c>
      <c r="B18" s="320" t="str">
        <f>'[1]Rozpocet'!E41</f>
        <v>Komunikace</v>
      </c>
      <c r="C18" s="321">
        <f>'[1]Rozpocet'!I41</f>
        <v>38267.3</v>
      </c>
      <c r="D18" s="322">
        <f>'[1]Rozpocet'!K41</f>
        <v>0.14184</v>
      </c>
      <c r="E18" s="322">
        <f>'[1]Rozpocet'!M41</f>
        <v>0</v>
      </c>
    </row>
    <row r="19" spans="1:5" s="318" customFormat="1" ht="12.75" customHeight="1">
      <c r="A19" s="319" t="str">
        <f>'[1]Rozpocet'!D47</f>
        <v>8</v>
      </c>
      <c r="B19" s="320" t="str">
        <f>'[1]Rozpocet'!E47</f>
        <v>Trubní vedení</v>
      </c>
      <c r="C19" s="321">
        <f>'[1]Rozpocet'!I47</f>
        <v>43624.69</v>
      </c>
      <c r="D19" s="322">
        <f>'[1]Rozpocet'!K47</f>
        <v>1.5006849999999998</v>
      </c>
      <c r="E19" s="322">
        <f>'[1]Rozpocet'!M47</f>
        <v>0</v>
      </c>
    </row>
    <row r="20" spans="1:5" s="318" customFormat="1" ht="12.75" customHeight="1">
      <c r="A20" s="319" t="str">
        <f>'[1]Rozpocet'!D51</f>
        <v>9</v>
      </c>
      <c r="B20" s="320" t="str">
        <f>'[1]Rozpocet'!E51</f>
        <v>Ostatní konstrukce a práce-bourání</v>
      </c>
      <c r="C20" s="321">
        <f>'[1]Rozpocet'!I51</f>
        <v>18916.97</v>
      </c>
      <c r="D20" s="322">
        <f>'[1]Rozpocet'!K51</f>
        <v>0</v>
      </c>
      <c r="E20" s="322">
        <f>'[1]Rozpocet'!M51</f>
        <v>0</v>
      </c>
    </row>
    <row r="21" spans="1:5" s="318" customFormat="1" ht="12.75" customHeight="1">
      <c r="A21" s="319" t="str">
        <f>'[1]Rozpocet'!D56</f>
        <v>99</v>
      </c>
      <c r="B21" s="320" t="str">
        <f>'[1]Rozpocet'!E56</f>
        <v>Přesun hmot</v>
      </c>
      <c r="C21" s="321">
        <f>'[1]Rozpocet'!I56</f>
        <v>18050.71</v>
      </c>
      <c r="D21" s="322">
        <f>'[1]Rozpocet'!K56</f>
        <v>0</v>
      </c>
      <c r="E21" s="322">
        <f>'[1]Rozpocet'!M56</f>
        <v>0</v>
      </c>
    </row>
    <row r="22" spans="1:5" s="318" customFormat="1" ht="12.75" customHeight="1">
      <c r="A22" s="314" t="str">
        <f>'[1]Rozpocet'!D58</f>
        <v>M</v>
      </c>
      <c r="B22" s="315" t="str">
        <f>'[1]Rozpocet'!E58</f>
        <v>Práce a dodávky M</v>
      </c>
      <c r="C22" s="316">
        <f>'[1]Rozpocet'!I58</f>
        <v>4764.04</v>
      </c>
      <c r="D22" s="317">
        <f>'[1]Rozpocet'!K58</f>
        <v>0</v>
      </c>
      <c r="E22" s="317">
        <f>'[1]Rozpocet'!M58</f>
        <v>0</v>
      </c>
    </row>
    <row r="23" spans="1:5" s="318" customFormat="1" ht="12.75" customHeight="1">
      <c r="A23" s="319" t="str">
        <f>'[1]Rozpocet'!D59</f>
        <v>23-M</v>
      </c>
      <c r="B23" s="320" t="str">
        <f>'[1]Rozpocet'!E59</f>
        <v>Montáže potrubí</v>
      </c>
      <c r="C23" s="321">
        <f>'[1]Rozpocet'!I59</f>
        <v>4764.04</v>
      </c>
      <c r="D23" s="322">
        <f>'[1]Rozpocet'!K59</f>
        <v>0</v>
      </c>
      <c r="E23" s="322">
        <f>'[1]Rozpocet'!M59</f>
        <v>0</v>
      </c>
    </row>
    <row r="24" spans="2:5" s="323" customFormat="1" ht="12.75" customHeight="1">
      <c r="B24" s="324" t="s">
        <v>124</v>
      </c>
      <c r="C24" s="325">
        <f>'[1]Rozpocet'!I62</f>
        <v>328550.16000000003</v>
      </c>
      <c r="D24" s="326">
        <f>'[1]Rozpocet'!K62</f>
        <v>114.24494969999999</v>
      </c>
      <c r="E24" s="326">
        <f>'[1]Rozpocet'!M62</f>
        <v>34.167680000000004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1.25" customHeight="1"/>
  <cols>
    <col min="1" max="1" width="9.421875" style="184" customWidth="1"/>
    <col min="2" max="2" width="4.7109375" style="184" customWidth="1"/>
    <col min="3" max="3" width="12.7109375" style="184" customWidth="1"/>
    <col min="4" max="4" width="55.57421875" style="184" customWidth="1"/>
    <col min="5" max="5" width="4.7109375" style="184" customWidth="1"/>
    <col min="6" max="6" width="9.8515625" style="184" customWidth="1"/>
    <col min="7" max="7" width="9.7109375" style="184" customWidth="1"/>
    <col min="8" max="8" width="13.57421875" style="184" customWidth="1"/>
    <col min="9" max="9" width="10.57421875" style="184" hidden="1" customWidth="1"/>
    <col min="10" max="10" width="10.8515625" style="184" hidden="1" customWidth="1"/>
    <col min="11" max="11" width="9.7109375" style="184" hidden="1" customWidth="1"/>
    <col min="12" max="12" width="11.57421875" style="184" hidden="1" customWidth="1"/>
    <col min="13" max="13" width="5.28125" style="184" customWidth="1"/>
    <col min="14" max="14" width="7.00390625" style="184" hidden="1" customWidth="1"/>
    <col min="15" max="15" width="7.28125" style="184" hidden="1" customWidth="1"/>
    <col min="16" max="16384" width="9.140625" style="184" customWidth="1"/>
  </cols>
  <sheetData>
    <row r="1" spans="1:15" ht="18" customHeight="1">
      <c r="A1" s="296" t="s">
        <v>986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28"/>
    </row>
    <row r="2" spans="1:15" ht="15" customHeight="1">
      <c r="A2" s="340" t="s">
        <v>72</v>
      </c>
      <c r="B2" s="341" t="s">
        <v>2</v>
      </c>
      <c r="C2" s="299"/>
      <c r="D2" s="299"/>
      <c r="E2" s="299"/>
      <c r="F2" s="299"/>
      <c r="G2" s="299"/>
      <c r="H2" s="299"/>
      <c r="I2" s="299"/>
      <c r="J2" s="299"/>
      <c r="K2" s="327"/>
      <c r="L2" s="327"/>
      <c r="M2" s="327"/>
      <c r="N2" s="328"/>
      <c r="O2" s="328"/>
    </row>
    <row r="3" spans="1:15" ht="11.25" customHeight="1">
      <c r="A3" s="298" t="s">
        <v>225</v>
      </c>
      <c r="B3" s="299" t="str">
        <f>'[1]Krycí list'!E7</f>
        <v>SO 01 Stoka RA</v>
      </c>
      <c r="C3" s="299"/>
      <c r="D3" s="299"/>
      <c r="E3" s="299"/>
      <c r="F3" s="299"/>
      <c r="G3" s="299"/>
      <c r="H3" s="299"/>
      <c r="I3" s="299"/>
      <c r="J3" s="299"/>
      <c r="K3" s="327"/>
      <c r="L3" s="327"/>
      <c r="M3" s="327"/>
      <c r="N3" s="328"/>
      <c r="O3" s="328"/>
    </row>
    <row r="4" spans="1:15" ht="11.25" customHeight="1">
      <c r="A4" s="298" t="s">
        <v>226</v>
      </c>
      <c r="B4" s="299" t="str">
        <f>'[1]Krycí list'!E9</f>
        <v>SO 01 Stoka RA DN 250</v>
      </c>
      <c r="C4" s="299"/>
      <c r="D4" s="299"/>
      <c r="E4" s="299"/>
      <c r="F4" s="299"/>
      <c r="G4" s="299"/>
      <c r="H4" s="299"/>
      <c r="I4" s="299"/>
      <c r="J4" s="299"/>
      <c r="K4" s="327"/>
      <c r="L4" s="327"/>
      <c r="M4" s="327"/>
      <c r="N4" s="328"/>
      <c r="O4" s="328"/>
    </row>
    <row r="5" spans="1:15" ht="11.25" customHeight="1">
      <c r="A5" s="299" t="s">
        <v>232</v>
      </c>
      <c r="B5" s="299" t="str">
        <f>'[1]Krycí list'!P5</f>
        <v> </v>
      </c>
      <c r="C5" s="299"/>
      <c r="D5" s="299"/>
      <c r="E5" s="299"/>
      <c r="F5" s="299"/>
      <c r="G5" s="299"/>
      <c r="H5" s="299"/>
      <c r="I5" s="299"/>
      <c r="J5" s="299"/>
      <c r="K5" s="327"/>
      <c r="L5" s="327"/>
      <c r="M5" s="327"/>
      <c r="N5" s="328"/>
      <c r="O5" s="328"/>
    </row>
    <row r="6" spans="1:15" ht="6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27"/>
      <c r="L6" s="327"/>
      <c r="M6" s="327"/>
      <c r="N6" s="328"/>
      <c r="O6" s="328"/>
    </row>
    <row r="7" spans="1:15" ht="11.25" customHeight="1">
      <c r="A7" s="299" t="s">
        <v>11</v>
      </c>
      <c r="B7" s="469" t="s">
        <v>1021</v>
      </c>
      <c r="C7" s="299"/>
      <c r="D7" s="299"/>
      <c r="E7" s="299"/>
      <c r="F7" s="299"/>
      <c r="G7" s="299"/>
      <c r="H7" s="299"/>
      <c r="I7" s="299"/>
      <c r="J7" s="299"/>
      <c r="K7" s="327"/>
      <c r="L7" s="327"/>
      <c r="M7" s="327"/>
      <c r="N7" s="328"/>
      <c r="O7" s="328"/>
    </row>
    <row r="8" spans="1:15" ht="11.25" customHeight="1">
      <c r="A8" s="299" t="s">
        <v>12</v>
      </c>
      <c r="B8" s="469" t="s">
        <v>1022</v>
      </c>
      <c r="C8" s="299"/>
      <c r="D8" s="299"/>
      <c r="E8" s="299"/>
      <c r="F8" s="299"/>
      <c r="G8" s="299"/>
      <c r="H8" s="299"/>
      <c r="I8" s="299"/>
      <c r="J8" s="299"/>
      <c r="K8" s="327"/>
      <c r="L8" s="327"/>
      <c r="M8" s="327"/>
      <c r="N8" s="328"/>
      <c r="O8" s="328"/>
    </row>
    <row r="9" spans="1:15" ht="11.25" customHeight="1">
      <c r="A9" s="299" t="s">
        <v>987</v>
      </c>
      <c r="B9" s="701" t="s">
        <v>988</v>
      </c>
      <c r="C9" s="701"/>
      <c r="D9" s="299"/>
      <c r="E9" s="299"/>
      <c r="F9" s="299"/>
      <c r="G9" s="299"/>
      <c r="H9" s="299"/>
      <c r="I9" s="299"/>
      <c r="J9" s="299"/>
      <c r="K9" s="327"/>
      <c r="L9" s="327"/>
      <c r="M9" s="327"/>
      <c r="N9" s="328"/>
      <c r="O9" s="328"/>
    </row>
    <row r="10" spans="1:15" ht="5.2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328"/>
    </row>
    <row r="11" spans="1:15" ht="21.75" customHeight="1">
      <c r="A11" s="646" t="s">
        <v>233</v>
      </c>
      <c r="B11" s="646" t="s">
        <v>621</v>
      </c>
      <c r="C11" s="646" t="s">
        <v>985</v>
      </c>
      <c r="D11" s="646" t="s">
        <v>228</v>
      </c>
      <c r="E11" s="646" t="s">
        <v>234</v>
      </c>
      <c r="F11" s="646" t="s">
        <v>235</v>
      </c>
      <c r="G11" s="646" t="s">
        <v>236</v>
      </c>
      <c r="H11" s="646" t="s">
        <v>229</v>
      </c>
      <c r="I11" s="646" t="s">
        <v>237</v>
      </c>
      <c r="J11" s="646" t="s">
        <v>230</v>
      </c>
      <c r="K11" s="646" t="s">
        <v>238</v>
      </c>
      <c r="L11" s="646" t="s">
        <v>239</v>
      </c>
      <c r="M11" s="646" t="s">
        <v>240</v>
      </c>
      <c r="N11" s="329" t="s">
        <v>241</v>
      </c>
      <c r="O11" s="330" t="s">
        <v>242</v>
      </c>
    </row>
    <row r="12" spans="1:15" ht="11.25" customHeight="1">
      <c r="A12" s="647">
        <v>1</v>
      </c>
      <c r="B12" s="647">
        <v>2</v>
      </c>
      <c r="C12" s="647">
        <v>3</v>
      </c>
      <c r="D12" s="647">
        <v>4</v>
      </c>
      <c r="E12" s="647">
        <v>5</v>
      </c>
      <c r="F12" s="647">
        <v>6</v>
      </c>
      <c r="G12" s="647">
        <v>7</v>
      </c>
      <c r="H12" s="647">
        <v>8</v>
      </c>
      <c r="I12" s="647"/>
      <c r="J12" s="647"/>
      <c r="K12" s="647"/>
      <c r="L12" s="647"/>
      <c r="M12" s="647">
        <v>9</v>
      </c>
      <c r="N12" s="331">
        <v>11</v>
      </c>
      <c r="O12" s="332">
        <v>12</v>
      </c>
    </row>
    <row r="13" spans="1:15" ht="3.75" customHeight="1">
      <c r="A13" s="643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328"/>
      <c r="O13" s="333"/>
    </row>
    <row r="14" spans="1:15" s="318" customFormat="1" ht="13.5" customHeight="1">
      <c r="A14" s="446"/>
      <c r="B14" s="446"/>
      <c r="C14" s="446" t="s">
        <v>155</v>
      </c>
      <c r="D14" s="446" t="s">
        <v>243</v>
      </c>
      <c r="E14" s="446"/>
      <c r="F14" s="446"/>
      <c r="G14" s="446"/>
      <c r="H14" s="447">
        <f>H15+H34+H37+H41+H47+H51+H56</f>
        <v>0</v>
      </c>
      <c r="I14" s="446"/>
      <c r="J14" s="448">
        <f>J15+J34+J37+J41+J47+J51+J56</f>
        <v>114.24494969999999</v>
      </c>
      <c r="K14" s="446"/>
      <c r="L14" s="448">
        <f>L15+L34+L37+L41+L47+L51+L56</f>
        <v>34.167680000000004</v>
      </c>
      <c r="M14" s="446"/>
      <c r="O14" s="315" t="s">
        <v>244</v>
      </c>
    </row>
    <row r="15" spans="1:15" s="318" customFormat="1" ht="13.5" customHeight="1">
      <c r="A15" s="446"/>
      <c r="B15" s="446"/>
      <c r="C15" s="446" t="s">
        <v>154</v>
      </c>
      <c r="D15" s="446" t="s">
        <v>245</v>
      </c>
      <c r="E15" s="446"/>
      <c r="F15" s="446"/>
      <c r="G15" s="446"/>
      <c r="H15" s="447">
        <f>SUM(H16:H33)</f>
        <v>0</v>
      </c>
      <c r="I15" s="446"/>
      <c r="J15" s="448">
        <f>SUM(J16:J33)</f>
        <v>107.90080694</v>
      </c>
      <c r="K15" s="446"/>
      <c r="L15" s="448">
        <f>SUM(L16:L33)</f>
        <v>34.167680000000004</v>
      </c>
      <c r="M15" s="446"/>
      <c r="O15" s="320" t="s">
        <v>154</v>
      </c>
    </row>
    <row r="16" spans="1:15" s="196" customFormat="1" ht="13.5" customHeight="1">
      <c r="A16" s="400" t="s">
        <v>154</v>
      </c>
      <c r="B16" s="403">
        <v>1</v>
      </c>
      <c r="C16" s="419" t="s">
        <v>757</v>
      </c>
      <c r="D16" s="398" t="s">
        <v>246</v>
      </c>
      <c r="E16" s="400" t="s">
        <v>247</v>
      </c>
      <c r="F16" s="401">
        <v>23.64</v>
      </c>
      <c r="G16" s="402"/>
      <c r="H16" s="402">
        <f aca="true" t="shared" si="0" ref="H16:H33">ROUND(F16*G16,2)</f>
        <v>0</v>
      </c>
      <c r="I16" s="449">
        <v>0</v>
      </c>
      <c r="J16" s="401">
        <f aca="true" t="shared" si="1" ref="J16:J33">F16*I16</f>
        <v>0</v>
      </c>
      <c r="K16" s="449">
        <v>0.235</v>
      </c>
      <c r="L16" s="401">
        <f aca="true" t="shared" si="2" ref="L16:L33">F16*K16</f>
        <v>5.5554</v>
      </c>
      <c r="M16" s="450">
        <v>21</v>
      </c>
      <c r="N16" s="334">
        <v>4</v>
      </c>
      <c r="O16" s="196" t="s">
        <v>161</v>
      </c>
    </row>
    <row r="17" spans="1:15" s="196" customFormat="1" ht="13.5" customHeight="1">
      <c r="A17" s="400" t="s">
        <v>161</v>
      </c>
      <c r="B17" s="408">
        <v>1</v>
      </c>
      <c r="C17" s="419" t="s">
        <v>758</v>
      </c>
      <c r="D17" s="398" t="s">
        <v>248</v>
      </c>
      <c r="E17" s="400" t="s">
        <v>247</v>
      </c>
      <c r="F17" s="401">
        <v>23.64</v>
      </c>
      <c r="G17" s="402"/>
      <c r="H17" s="402">
        <f t="shared" si="0"/>
        <v>0</v>
      </c>
      <c r="I17" s="449">
        <v>0</v>
      </c>
      <c r="J17" s="401">
        <f t="shared" si="1"/>
        <v>0</v>
      </c>
      <c r="K17" s="449">
        <v>0.56</v>
      </c>
      <c r="L17" s="401">
        <f t="shared" si="2"/>
        <v>13.238400000000002</v>
      </c>
      <c r="M17" s="450">
        <f>$M$16</f>
        <v>21</v>
      </c>
      <c r="N17" s="334">
        <v>4</v>
      </c>
      <c r="O17" s="196" t="s">
        <v>161</v>
      </c>
    </row>
    <row r="18" spans="1:15" s="196" customFormat="1" ht="13.5" customHeight="1">
      <c r="A18" s="400" t="s">
        <v>167</v>
      </c>
      <c r="B18" s="408">
        <v>1</v>
      </c>
      <c r="C18" s="419" t="s">
        <v>759</v>
      </c>
      <c r="D18" s="398" t="s">
        <v>249</v>
      </c>
      <c r="E18" s="400" t="s">
        <v>247</v>
      </c>
      <c r="F18" s="401">
        <v>23.64</v>
      </c>
      <c r="G18" s="402"/>
      <c r="H18" s="402">
        <f t="shared" si="0"/>
        <v>0</v>
      </c>
      <c r="I18" s="449">
        <v>0</v>
      </c>
      <c r="J18" s="401">
        <f t="shared" si="1"/>
        <v>0</v>
      </c>
      <c r="K18" s="449">
        <v>0.181</v>
      </c>
      <c r="L18" s="401">
        <f t="shared" si="2"/>
        <v>4.27884</v>
      </c>
      <c r="M18" s="450">
        <f aca="true" t="shared" si="3" ref="M18:M33">$M$17</f>
        <v>21</v>
      </c>
      <c r="N18" s="334">
        <v>4</v>
      </c>
      <c r="O18" s="196" t="s">
        <v>161</v>
      </c>
    </row>
    <row r="19" spans="1:15" s="196" customFormat="1" ht="24.75" customHeight="1">
      <c r="A19" s="400" t="s">
        <v>173</v>
      </c>
      <c r="B19" s="408">
        <v>1</v>
      </c>
      <c r="C19" s="419" t="s">
        <v>760</v>
      </c>
      <c r="D19" s="451" t="s">
        <v>250</v>
      </c>
      <c r="E19" s="400" t="s">
        <v>247</v>
      </c>
      <c r="F19" s="401">
        <v>86.68</v>
      </c>
      <c r="G19" s="402"/>
      <c r="H19" s="402">
        <f t="shared" si="0"/>
        <v>0</v>
      </c>
      <c r="I19" s="449">
        <v>2E-05</v>
      </c>
      <c r="J19" s="401">
        <f t="shared" si="1"/>
        <v>0.0017336000000000003</v>
      </c>
      <c r="K19" s="449">
        <v>0.128</v>
      </c>
      <c r="L19" s="401">
        <f t="shared" si="2"/>
        <v>11.095040000000001</v>
      </c>
      <c r="M19" s="450">
        <f t="shared" si="3"/>
        <v>21</v>
      </c>
      <c r="N19" s="334">
        <v>4</v>
      </c>
      <c r="O19" s="196" t="s">
        <v>161</v>
      </c>
    </row>
    <row r="20" spans="1:15" s="196" customFormat="1" ht="13.5" customHeight="1">
      <c r="A20" s="400" t="s">
        <v>177</v>
      </c>
      <c r="B20" s="408">
        <v>1</v>
      </c>
      <c r="C20" s="419" t="s">
        <v>761</v>
      </c>
      <c r="D20" s="398" t="s">
        <v>251</v>
      </c>
      <c r="E20" s="400" t="s">
        <v>252</v>
      </c>
      <c r="F20" s="401">
        <v>168</v>
      </c>
      <c r="G20" s="402"/>
      <c r="H20" s="402">
        <f t="shared" si="0"/>
        <v>0</v>
      </c>
      <c r="I20" s="449">
        <v>4E-05</v>
      </c>
      <c r="J20" s="401">
        <f t="shared" si="1"/>
        <v>0.00672</v>
      </c>
      <c r="K20" s="449">
        <v>0</v>
      </c>
      <c r="L20" s="401">
        <f t="shared" si="2"/>
        <v>0</v>
      </c>
      <c r="M20" s="450">
        <f t="shared" si="3"/>
        <v>21</v>
      </c>
      <c r="N20" s="334">
        <v>4</v>
      </c>
      <c r="O20" s="196" t="s">
        <v>161</v>
      </c>
    </row>
    <row r="21" spans="1:15" s="196" customFormat="1" ht="13.5" customHeight="1">
      <c r="A21" s="400" t="s">
        <v>181</v>
      </c>
      <c r="B21" s="408">
        <v>1</v>
      </c>
      <c r="C21" s="419" t="s">
        <v>762</v>
      </c>
      <c r="D21" s="398" t="s">
        <v>253</v>
      </c>
      <c r="E21" s="400" t="s">
        <v>254</v>
      </c>
      <c r="F21" s="401">
        <v>7</v>
      </c>
      <c r="G21" s="402"/>
      <c r="H21" s="402">
        <f t="shared" si="0"/>
        <v>0</v>
      </c>
      <c r="I21" s="449">
        <v>0</v>
      </c>
      <c r="J21" s="401">
        <f t="shared" si="1"/>
        <v>0</v>
      </c>
      <c r="K21" s="449">
        <v>0</v>
      </c>
      <c r="L21" s="401">
        <f t="shared" si="2"/>
        <v>0</v>
      </c>
      <c r="M21" s="450">
        <f t="shared" si="3"/>
        <v>21</v>
      </c>
      <c r="N21" s="334">
        <v>4</v>
      </c>
      <c r="O21" s="196" t="s">
        <v>161</v>
      </c>
    </row>
    <row r="22" spans="1:15" s="196" customFormat="1" ht="13.5" customHeight="1">
      <c r="A22" s="400" t="s">
        <v>184</v>
      </c>
      <c r="B22" s="408">
        <v>1</v>
      </c>
      <c r="C22" s="419" t="s">
        <v>763</v>
      </c>
      <c r="D22" s="398" t="s">
        <v>255</v>
      </c>
      <c r="E22" s="400" t="s">
        <v>256</v>
      </c>
      <c r="F22" s="401">
        <v>4.5</v>
      </c>
      <c r="G22" s="402"/>
      <c r="H22" s="402">
        <f t="shared" si="0"/>
        <v>0</v>
      </c>
      <c r="I22" s="449">
        <v>0.00868</v>
      </c>
      <c r="J22" s="401">
        <f t="shared" si="1"/>
        <v>0.03906</v>
      </c>
      <c r="K22" s="449">
        <v>0</v>
      </c>
      <c r="L22" s="401">
        <f t="shared" si="2"/>
        <v>0</v>
      </c>
      <c r="M22" s="450">
        <f t="shared" si="3"/>
        <v>21</v>
      </c>
      <c r="N22" s="334">
        <v>4</v>
      </c>
      <c r="O22" s="196" t="s">
        <v>161</v>
      </c>
    </row>
    <row r="23" spans="1:15" s="196" customFormat="1" ht="13.5" customHeight="1">
      <c r="A23" s="400" t="s">
        <v>157</v>
      </c>
      <c r="B23" s="408">
        <v>1</v>
      </c>
      <c r="C23" s="419" t="s">
        <v>788</v>
      </c>
      <c r="D23" s="398" t="s">
        <v>257</v>
      </c>
      <c r="E23" s="400" t="s">
        <v>258</v>
      </c>
      <c r="F23" s="401">
        <v>68.674</v>
      </c>
      <c r="G23" s="402"/>
      <c r="H23" s="402">
        <f t="shared" si="0"/>
        <v>0</v>
      </c>
      <c r="I23" s="449">
        <v>0</v>
      </c>
      <c r="J23" s="401">
        <f t="shared" si="1"/>
        <v>0</v>
      </c>
      <c r="K23" s="449">
        <v>0</v>
      </c>
      <c r="L23" s="401">
        <f t="shared" si="2"/>
        <v>0</v>
      </c>
      <c r="M23" s="450">
        <f t="shared" si="3"/>
        <v>21</v>
      </c>
      <c r="N23" s="334">
        <v>4</v>
      </c>
      <c r="O23" s="196" t="s">
        <v>161</v>
      </c>
    </row>
    <row r="24" spans="1:15" s="196" customFormat="1" ht="13.5" customHeight="1">
      <c r="A24" s="400" t="s">
        <v>163</v>
      </c>
      <c r="B24" s="408">
        <v>1</v>
      </c>
      <c r="C24" s="419" t="s">
        <v>767</v>
      </c>
      <c r="D24" s="398" t="s">
        <v>259</v>
      </c>
      <c r="E24" s="400" t="s">
        <v>258</v>
      </c>
      <c r="F24" s="401">
        <v>68.674</v>
      </c>
      <c r="G24" s="402"/>
      <c r="H24" s="402">
        <f t="shared" si="0"/>
        <v>0</v>
      </c>
      <c r="I24" s="449">
        <v>0</v>
      </c>
      <c r="J24" s="401">
        <f t="shared" si="1"/>
        <v>0</v>
      </c>
      <c r="K24" s="449">
        <v>0</v>
      </c>
      <c r="L24" s="401">
        <f t="shared" si="2"/>
        <v>0</v>
      </c>
      <c r="M24" s="450">
        <f t="shared" si="3"/>
        <v>21</v>
      </c>
      <c r="N24" s="334">
        <v>4</v>
      </c>
      <c r="O24" s="196" t="s">
        <v>161</v>
      </c>
    </row>
    <row r="25" spans="1:15" s="196" customFormat="1" ht="13.5" customHeight="1">
      <c r="A25" s="400" t="s">
        <v>169</v>
      </c>
      <c r="B25" s="408">
        <v>1</v>
      </c>
      <c r="C25" s="419" t="s">
        <v>768</v>
      </c>
      <c r="D25" s="398" t="s">
        <v>260</v>
      </c>
      <c r="E25" s="400" t="s">
        <v>247</v>
      </c>
      <c r="F25" s="401">
        <v>122.534</v>
      </c>
      <c r="G25" s="402"/>
      <c r="H25" s="402">
        <f t="shared" si="0"/>
        <v>0</v>
      </c>
      <c r="I25" s="449">
        <v>0.00201</v>
      </c>
      <c r="J25" s="401">
        <f t="shared" si="1"/>
        <v>0.24629334000000003</v>
      </c>
      <c r="K25" s="449">
        <v>0</v>
      </c>
      <c r="L25" s="401">
        <f t="shared" si="2"/>
        <v>0</v>
      </c>
      <c r="M25" s="450">
        <f t="shared" si="3"/>
        <v>21</v>
      </c>
      <c r="N25" s="334">
        <v>4</v>
      </c>
      <c r="O25" s="196" t="s">
        <v>161</v>
      </c>
    </row>
    <row r="26" spans="1:15" s="196" customFormat="1" ht="13.5" customHeight="1">
      <c r="A26" s="400" t="s">
        <v>174</v>
      </c>
      <c r="B26" s="408">
        <v>1</v>
      </c>
      <c r="C26" s="419" t="s">
        <v>769</v>
      </c>
      <c r="D26" s="398" t="s">
        <v>261</v>
      </c>
      <c r="E26" s="400" t="s">
        <v>247</v>
      </c>
      <c r="F26" s="401">
        <v>122.534</v>
      </c>
      <c r="G26" s="402"/>
      <c r="H26" s="402">
        <f t="shared" si="0"/>
        <v>0</v>
      </c>
      <c r="I26" s="449">
        <v>0</v>
      </c>
      <c r="J26" s="401">
        <f t="shared" si="1"/>
        <v>0</v>
      </c>
      <c r="K26" s="449">
        <v>0</v>
      </c>
      <c r="L26" s="401">
        <f t="shared" si="2"/>
        <v>0</v>
      </c>
      <c r="M26" s="450">
        <f t="shared" si="3"/>
        <v>21</v>
      </c>
      <c r="N26" s="334">
        <v>4</v>
      </c>
      <c r="O26" s="196" t="s">
        <v>161</v>
      </c>
    </row>
    <row r="27" spans="1:15" s="196" customFormat="1" ht="13.5" customHeight="1">
      <c r="A27" s="400" t="s">
        <v>186</v>
      </c>
      <c r="B27" s="408">
        <v>1</v>
      </c>
      <c r="C27" s="419" t="s">
        <v>770</v>
      </c>
      <c r="D27" s="398" t="s">
        <v>262</v>
      </c>
      <c r="E27" s="400" t="s">
        <v>258</v>
      </c>
      <c r="F27" s="401">
        <v>37.771</v>
      </c>
      <c r="G27" s="402"/>
      <c r="H27" s="402">
        <f t="shared" si="0"/>
        <v>0</v>
      </c>
      <c r="I27" s="449">
        <v>0</v>
      </c>
      <c r="J27" s="401">
        <f t="shared" si="1"/>
        <v>0</v>
      </c>
      <c r="K27" s="449">
        <v>0</v>
      </c>
      <c r="L27" s="401">
        <f t="shared" si="2"/>
        <v>0</v>
      </c>
      <c r="M27" s="450">
        <f t="shared" si="3"/>
        <v>21</v>
      </c>
      <c r="N27" s="334">
        <v>4</v>
      </c>
      <c r="O27" s="196" t="s">
        <v>161</v>
      </c>
    </row>
    <row r="28" spans="1:15" s="196" customFormat="1" ht="24.75" customHeight="1">
      <c r="A28" s="400" t="s">
        <v>159</v>
      </c>
      <c r="B28" s="408">
        <v>1</v>
      </c>
      <c r="C28" s="419" t="s">
        <v>771</v>
      </c>
      <c r="D28" s="451" t="s">
        <v>263</v>
      </c>
      <c r="E28" s="400" t="s">
        <v>258</v>
      </c>
      <c r="F28" s="401">
        <v>68.674</v>
      </c>
      <c r="G28" s="402"/>
      <c r="H28" s="402">
        <f t="shared" si="0"/>
        <v>0</v>
      </c>
      <c r="I28" s="449">
        <v>0</v>
      </c>
      <c r="J28" s="401">
        <f t="shared" si="1"/>
        <v>0</v>
      </c>
      <c r="K28" s="449">
        <v>0</v>
      </c>
      <c r="L28" s="401">
        <f t="shared" si="2"/>
        <v>0</v>
      </c>
      <c r="M28" s="450">
        <f t="shared" si="3"/>
        <v>21</v>
      </c>
      <c r="N28" s="334">
        <v>4</v>
      </c>
      <c r="O28" s="196" t="s">
        <v>161</v>
      </c>
    </row>
    <row r="29" spans="1:15" s="196" customFormat="1" ht="13.5" customHeight="1">
      <c r="A29" s="400" t="s">
        <v>165</v>
      </c>
      <c r="B29" s="408">
        <v>1</v>
      </c>
      <c r="C29" s="419" t="s">
        <v>772</v>
      </c>
      <c r="D29" s="398" t="s">
        <v>264</v>
      </c>
      <c r="E29" s="400" t="s">
        <v>258</v>
      </c>
      <c r="F29" s="401">
        <v>68.674</v>
      </c>
      <c r="G29" s="402"/>
      <c r="H29" s="402">
        <f t="shared" si="0"/>
        <v>0</v>
      </c>
      <c r="I29" s="449">
        <v>0</v>
      </c>
      <c r="J29" s="401">
        <f t="shared" si="1"/>
        <v>0</v>
      </c>
      <c r="K29" s="449">
        <v>0</v>
      </c>
      <c r="L29" s="401">
        <f t="shared" si="2"/>
        <v>0</v>
      </c>
      <c r="M29" s="450">
        <f t="shared" si="3"/>
        <v>21</v>
      </c>
      <c r="N29" s="334">
        <v>4</v>
      </c>
      <c r="O29" s="196" t="s">
        <v>161</v>
      </c>
    </row>
    <row r="30" spans="1:15" s="196" customFormat="1" ht="13.5" customHeight="1">
      <c r="A30" s="400" t="s">
        <v>171</v>
      </c>
      <c r="B30" s="408">
        <v>1</v>
      </c>
      <c r="C30" s="419" t="s">
        <v>774</v>
      </c>
      <c r="D30" s="398" t="s">
        <v>265</v>
      </c>
      <c r="E30" s="400" t="s">
        <v>258</v>
      </c>
      <c r="F30" s="401">
        <v>60.4</v>
      </c>
      <c r="G30" s="402"/>
      <c r="H30" s="402">
        <f t="shared" si="0"/>
        <v>0</v>
      </c>
      <c r="I30" s="449">
        <v>0</v>
      </c>
      <c r="J30" s="401">
        <f t="shared" si="1"/>
        <v>0</v>
      </c>
      <c r="K30" s="449">
        <v>0</v>
      </c>
      <c r="L30" s="401">
        <f t="shared" si="2"/>
        <v>0</v>
      </c>
      <c r="M30" s="450">
        <f t="shared" si="3"/>
        <v>21</v>
      </c>
      <c r="N30" s="334">
        <v>4</v>
      </c>
      <c r="O30" s="196" t="s">
        <v>161</v>
      </c>
    </row>
    <row r="31" spans="1:15" s="196" customFormat="1" ht="13.5" customHeight="1">
      <c r="A31" s="400" t="s">
        <v>175</v>
      </c>
      <c r="B31" s="452">
        <v>1</v>
      </c>
      <c r="C31" s="419" t="s">
        <v>775</v>
      </c>
      <c r="D31" s="398" t="s">
        <v>267</v>
      </c>
      <c r="E31" s="400" t="s">
        <v>268</v>
      </c>
      <c r="F31" s="401">
        <v>84.56</v>
      </c>
      <c r="G31" s="402"/>
      <c r="H31" s="402">
        <f t="shared" si="0"/>
        <v>0</v>
      </c>
      <c r="I31" s="449">
        <v>1</v>
      </c>
      <c r="J31" s="401">
        <f t="shared" si="1"/>
        <v>84.56</v>
      </c>
      <c r="K31" s="449">
        <v>0</v>
      </c>
      <c r="L31" s="401">
        <f t="shared" si="2"/>
        <v>0</v>
      </c>
      <c r="M31" s="450">
        <f t="shared" si="3"/>
        <v>21</v>
      </c>
      <c r="N31" s="336">
        <v>8</v>
      </c>
      <c r="O31" s="335" t="s">
        <v>161</v>
      </c>
    </row>
    <row r="32" spans="1:15" s="196" customFormat="1" ht="24.75" customHeight="1">
      <c r="A32" s="400" t="s">
        <v>179</v>
      </c>
      <c r="B32" s="408">
        <v>1</v>
      </c>
      <c r="C32" s="419" t="s">
        <v>800</v>
      </c>
      <c r="D32" s="451" t="s">
        <v>269</v>
      </c>
      <c r="E32" s="400" t="s">
        <v>258</v>
      </c>
      <c r="F32" s="401">
        <v>12.035</v>
      </c>
      <c r="G32" s="402"/>
      <c r="H32" s="402">
        <f t="shared" si="0"/>
        <v>0</v>
      </c>
      <c r="I32" s="449">
        <v>0</v>
      </c>
      <c r="J32" s="401">
        <f t="shared" si="1"/>
        <v>0</v>
      </c>
      <c r="K32" s="449">
        <v>0</v>
      </c>
      <c r="L32" s="401">
        <f t="shared" si="2"/>
        <v>0</v>
      </c>
      <c r="M32" s="450">
        <f t="shared" si="3"/>
        <v>21</v>
      </c>
      <c r="N32" s="334">
        <v>4</v>
      </c>
      <c r="O32" s="196" t="s">
        <v>161</v>
      </c>
    </row>
    <row r="33" spans="1:15" s="196" customFormat="1" ht="13.5" customHeight="1">
      <c r="A33" s="400" t="s">
        <v>182</v>
      </c>
      <c r="B33" s="452">
        <v>1</v>
      </c>
      <c r="C33" s="419" t="s">
        <v>775</v>
      </c>
      <c r="D33" s="398" t="s">
        <v>270</v>
      </c>
      <c r="E33" s="400" t="s">
        <v>268</v>
      </c>
      <c r="F33" s="401">
        <v>23.047</v>
      </c>
      <c r="G33" s="402"/>
      <c r="H33" s="402">
        <f t="shared" si="0"/>
        <v>0</v>
      </c>
      <c r="I33" s="449">
        <v>1</v>
      </c>
      <c r="J33" s="401">
        <f t="shared" si="1"/>
        <v>23.047</v>
      </c>
      <c r="K33" s="449">
        <v>0</v>
      </c>
      <c r="L33" s="401">
        <f t="shared" si="2"/>
        <v>0</v>
      </c>
      <c r="M33" s="450">
        <f t="shared" si="3"/>
        <v>21</v>
      </c>
      <c r="N33" s="336">
        <v>8</v>
      </c>
      <c r="O33" s="335" t="s">
        <v>161</v>
      </c>
    </row>
    <row r="34" spans="1:15" s="318" customFormat="1" ht="13.5" customHeight="1">
      <c r="A34" s="446"/>
      <c r="B34" s="404"/>
      <c r="C34" s="421"/>
      <c r="D34" s="446" t="s">
        <v>271</v>
      </c>
      <c r="E34" s="446"/>
      <c r="F34" s="446"/>
      <c r="G34" s="446"/>
      <c r="H34" s="447">
        <f>SUM(H35:H36)</f>
        <v>0</v>
      </c>
      <c r="I34" s="446"/>
      <c r="J34" s="448">
        <f>SUM(J35:J36)</f>
        <v>4.624181</v>
      </c>
      <c r="K34" s="446"/>
      <c r="L34" s="448">
        <f>SUM(L35:L36)</f>
        <v>0</v>
      </c>
      <c r="M34" s="450"/>
      <c r="O34" s="320" t="s">
        <v>154</v>
      </c>
    </row>
    <row r="35" spans="1:15" s="196" customFormat="1" ht="13.5" customHeight="1">
      <c r="A35" s="400" t="s">
        <v>188</v>
      </c>
      <c r="B35" s="408">
        <v>1</v>
      </c>
      <c r="C35" s="419" t="s">
        <v>719</v>
      </c>
      <c r="D35" s="398" t="s">
        <v>272</v>
      </c>
      <c r="E35" s="400" t="s">
        <v>256</v>
      </c>
      <c r="F35" s="401">
        <v>19.7</v>
      </c>
      <c r="G35" s="402"/>
      <c r="H35" s="402">
        <f>ROUND(F35*G35,2)</f>
        <v>0</v>
      </c>
      <c r="I35" s="449">
        <v>0.23473</v>
      </c>
      <c r="J35" s="401">
        <f>F35*I35</f>
        <v>4.624181</v>
      </c>
      <c r="K35" s="449">
        <v>0</v>
      </c>
      <c r="L35" s="401">
        <f>F35*K35</f>
        <v>0</v>
      </c>
      <c r="M35" s="450">
        <f>$M$17</f>
        <v>21</v>
      </c>
      <c r="N35" s="334">
        <v>4</v>
      </c>
      <c r="O35" s="196" t="s">
        <v>161</v>
      </c>
    </row>
    <row r="36" spans="1:15" s="196" customFormat="1" ht="13.5" customHeight="1">
      <c r="A36" s="400" t="s">
        <v>190</v>
      </c>
      <c r="B36" s="408">
        <v>1</v>
      </c>
      <c r="C36" s="419" t="s">
        <v>720</v>
      </c>
      <c r="D36" s="398" t="s">
        <v>401</v>
      </c>
      <c r="E36" s="400" t="s">
        <v>274</v>
      </c>
      <c r="F36" s="401">
        <v>1</v>
      </c>
      <c r="G36" s="402"/>
      <c r="H36" s="402">
        <f>ROUND(F36*G36,2)</f>
        <v>0</v>
      </c>
      <c r="I36" s="449">
        <v>0</v>
      </c>
      <c r="J36" s="401">
        <f>F36*I36</f>
        <v>0</v>
      </c>
      <c r="K36" s="449">
        <v>0</v>
      </c>
      <c r="L36" s="401">
        <f>F36*K36</f>
        <v>0</v>
      </c>
      <c r="M36" s="450">
        <f>$M$17</f>
        <v>21</v>
      </c>
      <c r="N36" s="334">
        <v>4</v>
      </c>
      <c r="O36" s="196" t="s">
        <v>161</v>
      </c>
    </row>
    <row r="37" spans="1:15" s="318" customFormat="1" ht="13.5" customHeight="1">
      <c r="A37" s="446"/>
      <c r="B37" s="404"/>
      <c r="C37" s="421"/>
      <c r="D37" s="446" t="s">
        <v>275</v>
      </c>
      <c r="E37" s="446"/>
      <c r="F37" s="446"/>
      <c r="G37" s="446"/>
      <c r="H37" s="447">
        <f>SUM(H38:H40)</f>
        <v>0</v>
      </c>
      <c r="I37" s="446"/>
      <c r="J37" s="448">
        <f>SUM(J38:J40)</f>
        <v>0.07743676000000001</v>
      </c>
      <c r="K37" s="446"/>
      <c r="L37" s="448">
        <f>SUM(L38:L40)</f>
        <v>0</v>
      </c>
      <c r="M37" s="450"/>
      <c r="O37" s="320" t="s">
        <v>154</v>
      </c>
    </row>
    <row r="38" spans="1:15" s="196" customFormat="1" ht="13.5" customHeight="1">
      <c r="A38" s="400" t="s">
        <v>192</v>
      </c>
      <c r="B38" s="408">
        <v>1</v>
      </c>
      <c r="C38" s="419" t="s">
        <v>721</v>
      </c>
      <c r="D38" s="398" t="s">
        <v>276</v>
      </c>
      <c r="E38" s="400" t="s">
        <v>258</v>
      </c>
      <c r="F38" s="401">
        <v>1.891</v>
      </c>
      <c r="G38" s="402"/>
      <c r="H38" s="402">
        <f>ROUND(F38*G38,2)</f>
        <v>0</v>
      </c>
      <c r="I38" s="449">
        <v>0</v>
      </c>
      <c r="J38" s="401">
        <f>F38*I38</f>
        <v>0</v>
      </c>
      <c r="K38" s="449">
        <v>0</v>
      </c>
      <c r="L38" s="401">
        <f>F38*K38</f>
        <v>0</v>
      </c>
      <c r="M38" s="450">
        <f>$M$17</f>
        <v>21</v>
      </c>
      <c r="N38" s="334">
        <v>4</v>
      </c>
      <c r="O38" s="196" t="s">
        <v>161</v>
      </c>
    </row>
    <row r="39" spans="1:15" s="196" customFormat="1" ht="13.5" customHeight="1">
      <c r="A39" s="400" t="s">
        <v>194</v>
      </c>
      <c r="B39" s="408">
        <v>1</v>
      </c>
      <c r="C39" s="419" t="s">
        <v>789</v>
      </c>
      <c r="D39" s="398" t="s">
        <v>277</v>
      </c>
      <c r="E39" s="400" t="s">
        <v>258</v>
      </c>
      <c r="F39" s="401">
        <v>4.728</v>
      </c>
      <c r="G39" s="402"/>
      <c r="H39" s="402">
        <f>ROUND(F39*G39,2)</f>
        <v>0</v>
      </c>
      <c r="I39" s="449">
        <v>0</v>
      </c>
      <c r="J39" s="401">
        <f>F39*I39</f>
        <v>0</v>
      </c>
      <c r="K39" s="449">
        <v>0</v>
      </c>
      <c r="L39" s="401">
        <f>F39*K39</f>
        <v>0</v>
      </c>
      <c r="M39" s="450">
        <f>$M$17</f>
        <v>21</v>
      </c>
      <c r="N39" s="334">
        <v>4</v>
      </c>
      <c r="O39" s="196" t="s">
        <v>161</v>
      </c>
    </row>
    <row r="40" spans="1:15" s="196" customFormat="1" ht="13.5" customHeight="1">
      <c r="A40" s="400" t="s">
        <v>198</v>
      </c>
      <c r="B40" s="408">
        <v>1</v>
      </c>
      <c r="C40" s="419" t="s">
        <v>722</v>
      </c>
      <c r="D40" s="398" t="s">
        <v>278</v>
      </c>
      <c r="E40" s="400" t="s">
        <v>247</v>
      </c>
      <c r="F40" s="401">
        <v>12.214</v>
      </c>
      <c r="G40" s="402"/>
      <c r="H40" s="402">
        <f>ROUND(F40*G40,2)</f>
        <v>0</v>
      </c>
      <c r="I40" s="449">
        <v>0.00634</v>
      </c>
      <c r="J40" s="401">
        <f>F40*I40</f>
        <v>0.07743676000000001</v>
      </c>
      <c r="K40" s="449">
        <v>0</v>
      </c>
      <c r="L40" s="401">
        <f>F40*K40</f>
        <v>0</v>
      </c>
      <c r="M40" s="450">
        <f>$M$17</f>
        <v>21</v>
      </c>
      <c r="N40" s="334">
        <v>4</v>
      </c>
      <c r="O40" s="196" t="s">
        <v>161</v>
      </c>
    </row>
    <row r="41" spans="1:15" s="318" customFormat="1" ht="13.5" customHeight="1">
      <c r="A41" s="446"/>
      <c r="B41" s="404"/>
      <c r="C41" s="421"/>
      <c r="D41" s="446" t="s">
        <v>279</v>
      </c>
      <c r="E41" s="446"/>
      <c r="F41" s="446"/>
      <c r="G41" s="446"/>
      <c r="H41" s="447">
        <f>SUM(H42:H46)</f>
        <v>0</v>
      </c>
      <c r="I41" s="446"/>
      <c r="J41" s="448">
        <f>SUM(J42:J46)</f>
        <v>0.14184</v>
      </c>
      <c r="K41" s="446"/>
      <c r="L41" s="448">
        <f>SUM(L42:L46)</f>
        <v>0</v>
      </c>
      <c r="M41" s="450"/>
      <c r="O41" s="320" t="s">
        <v>154</v>
      </c>
    </row>
    <row r="42" spans="1:15" s="196" customFormat="1" ht="13.5" customHeight="1">
      <c r="A42" s="400" t="s">
        <v>202</v>
      </c>
      <c r="B42" s="408">
        <v>1</v>
      </c>
      <c r="C42" s="419" t="s">
        <v>723</v>
      </c>
      <c r="D42" s="398" t="s">
        <v>280</v>
      </c>
      <c r="E42" s="400" t="s">
        <v>247</v>
      </c>
      <c r="F42" s="401">
        <v>23.64</v>
      </c>
      <c r="G42" s="402"/>
      <c r="H42" s="402">
        <f>ROUND(F42*G42,2)</f>
        <v>0</v>
      </c>
      <c r="I42" s="449">
        <v>0</v>
      </c>
      <c r="J42" s="401">
        <f>F42*I42</f>
        <v>0</v>
      </c>
      <c r="K42" s="449">
        <v>0</v>
      </c>
      <c r="L42" s="401">
        <f>F42*K42</f>
        <v>0</v>
      </c>
      <c r="M42" s="450">
        <f>$M$17</f>
        <v>21</v>
      </c>
      <c r="N42" s="334">
        <v>4</v>
      </c>
      <c r="O42" s="196" t="s">
        <v>161</v>
      </c>
    </row>
    <row r="43" spans="1:15" s="196" customFormat="1" ht="24.75" customHeight="1">
      <c r="A43" s="400" t="s">
        <v>204</v>
      </c>
      <c r="B43" s="408">
        <v>1</v>
      </c>
      <c r="C43" s="419" t="s">
        <v>724</v>
      </c>
      <c r="D43" s="451" t="s">
        <v>281</v>
      </c>
      <c r="E43" s="400" t="s">
        <v>247</v>
      </c>
      <c r="F43" s="401">
        <v>23.64</v>
      </c>
      <c r="G43" s="402"/>
      <c r="H43" s="402">
        <f>ROUND(F43*G43,2)</f>
        <v>0</v>
      </c>
      <c r="I43" s="449">
        <v>0</v>
      </c>
      <c r="J43" s="401">
        <f>F43*I43</f>
        <v>0</v>
      </c>
      <c r="K43" s="449">
        <v>0</v>
      </c>
      <c r="L43" s="401">
        <f>F43*K43</f>
        <v>0</v>
      </c>
      <c r="M43" s="450">
        <f>$M$17</f>
        <v>21</v>
      </c>
      <c r="N43" s="334">
        <v>4</v>
      </c>
      <c r="O43" s="196" t="s">
        <v>161</v>
      </c>
    </row>
    <row r="44" spans="1:15" s="196" customFormat="1" ht="24.75" customHeight="1">
      <c r="A44" s="400" t="s">
        <v>205</v>
      </c>
      <c r="B44" s="408">
        <v>1</v>
      </c>
      <c r="C44" s="419" t="s">
        <v>725</v>
      </c>
      <c r="D44" s="451" t="s">
        <v>282</v>
      </c>
      <c r="E44" s="400" t="s">
        <v>247</v>
      </c>
      <c r="F44" s="401">
        <v>43.34</v>
      </c>
      <c r="G44" s="402"/>
      <c r="H44" s="402">
        <f>ROUND(F44*G44,2)</f>
        <v>0</v>
      </c>
      <c r="I44" s="449">
        <v>0</v>
      </c>
      <c r="J44" s="401">
        <f>F44*I44</f>
        <v>0</v>
      </c>
      <c r="K44" s="449">
        <v>0</v>
      </c>
      <c r="L44" s="401">
        <f>F44*K44</f>
        <v>0</v>
      </c>
      <c r="M44" s="450">
        <f>$M$17</f>
        <v>21</v>
      </c>
      <c r="N44" s="334">
        <v>4</v>
      </c>
      <c r="O44" s="196" t="s">
        <v>161</v>
      </c>
    </row>
    <row r="45" spans="1:15" s="196" customFormat="1" ht="24.75" customHeight="1">
      <c r="A45" s="400" t="s">
        <v>209</v>
      </c>
      <c r="B45" s="408">
        <v>1</v>
      </c>
      <c r="C45" s="419" t="s">
        <v>726</v>
      </c>
      <c r="D45" s="451" t="s">
        <v>283</v>
      </c>
      <c r="E45" s="400" t="s">
        <v>247</v>
      </c>
      <c r="F45" s="401">
        <v>43.34</v>
      </c>
      <c r="G45" s="402"/>
      <c r="H45" s="402">
        <f>ROUND(F45*G45,2)</f>
        <v>0</v>
      </c>
      <c r="I45" s="449">
        <v>0</v>
      </c>
      <c r="J45" s="401">
        <f>F45*I45</f>
        <v>0</v>
      </c>
      <c r="K45" s="449">
        <v>0</v>
      </c>
      <c r="L45" s="401">
        <f>F45*K45</f>
        <v>0</v>
      </c>
      <c r="M45" s="450">
        <f>$M$17</f>
        <v>21</v>
      </c>
      <c r="N45" s="334">
        <v>4</v>
      </c>
      <c r="O45" s="196" t="s">
        <v>161</v>
      </c>
    </row>
    <row r="46" spans="1:15" s="196" customFormat="1" ht="13.5" customHeight="1">
      <c r="A46" s="400" t="s">
        <v>211</v>
      </c>
      <c r="B46" s="408">
        <v>1</v>
      </c>
      <c r="C46" s="419" t="s">
        <v>727</v>
      </c>
      <c r="D46" s="398" t="s">
        <v>284</v>
      </c>
      <c r="E46" s="400" t="s">
        <v>256</v>
      </c>
      <c r="F46" s="401">
        <v>39.4</v>
      </c>
      <c r="G46" s="402"/>
      <c r="H46" s="402">
        <f>ROUND(F46*G46,2)</f>
        <v>0</v>
      </c>
      <c r="I46" s="449">
        <v>0.0036</v>
      </c>
      <c r="J46" s="401">
        <f>F46*I46</f>
        <v>0.14184</v>
      </c>
      <c r="K46" s="449">
        <v>0</v>
      </c>
      <c r="L46" s="401">
        <f>F46*K46</f>
        <v>0</v>
      </c>
      <c r="M46" s="450">
        <f>$M$17</f>
        <v>21</v>
      </c>
      <c r="N46" s="334">
        <v>4</v>
      </c>
      <c r="O46" s="196" t="s">
        <v>161</v>
      </c>
    </row>
    <row r="47" spans="1:15" s="318" customFormat="1" ht="13.5" customHeight="1">
      <c r="A47" s="446"/>
      <c r="B47" s="404"/>
      <c r="C47" s="421"/>
      <c r="D47" s="446" t="s">
        <v>285</v>
      </c>
      <c r="E47" s="446"/>
      <c r="F47" s="446"/>
      <c r="G47" s="446"/>
      <c r="H47" s="447">
        <f>SUM(H48:H50)</f>
        <v>0</v>
      </c>
      <c r="I47" s="446"/>
      <c r="J47" s="448">
        <f>SUM(J48:J50)</f>
        <v>1.5006849999999998</v>
      </c>
      <c r="K47" s="446"/>
      <c r="L47" s="448">
        <f>SUM(L48:L50)</f>
        <v>0</v>
      </c>
      <c r="M47" s="450"/>
      <c r="O47" s="320" t="s">
        <v>154</v>
      </c>
    </row>
    <row r="48" spans="1:15" s="196" customFormat="1" ht="13.5" customHeight="1">
      <c r="A48" s="400" t="s">
        <v>213</v>
      </c>
      <c r="B48" s="408">
        <v>1</v>
      </c>
      <c r="C48" s="419" t="s">
        <v>728</v>
      </c>
      <c r="D48" s="398" t="s">
        <v>286</v>
      </c>
      <c r="E48" s="400" t="s">
        <v>256</v>
      </c>
      <c r="F48" s="401">
        <v>19.7</v>
      </c>
      <c r="G48" s="402"/>
      <c r="H48" s="402">
        <f>ROUND(F48*G48,2)</f>
        <v>0</v>
      </c>
      <c r="I48" s="449">
        <v>0</v>
      </c>
      <c r="J48" s="401">
        <f>F48*I48</f>
        <v>0</v>
      </c>
      <c r="K48" s="449">
        <v>0</v>
      </c>
      <c r="L48" s="401">
        <f>F48*K48</f>
        <v>0</v>
      </c>
      <c r="M48" s="450">
        <f>$M$17</f>
        <v>21</v>
      </c>
      <c r="N48" s="334">
        <v>4</v>
      </c>
      <c r="O48" s="196" t="s">
        <v>161</v>
      </c>
    </row>
    <row r="49" spans="1:15" s="196" customFormat="1" ht="24.75" customHeight="1">
      <c r="A49" s="400" t="s">
        <v>287</v>
      </c>
      <c r="B49" s="408">
        <v>1</v>
      </c>
      <c r="C49" s="419" t="s">
        <v>982</v>
      </c>
      <c r="D49" s="451" t="s">
        <v>288</v>
      </c>
      <c r="E49" s="400" t="s">
        <v>256</v>
      </c>
      <c r="F49" s="401">
        <v>19.7</v>
      </c>
      <c r="G49" s="402"/>
      <c r="H49" s="402">
        <f>ROUND(F49*G49,2)</f>
        <v>0</v>
      </c>
      <c r="I49" s="449">
        <v>5E-05</v>
      </c>
      <c r="J49" s="401">
        <f>F49*I49</f>
        <v>0.000985</v>
      </c>
      <c r="K49" s="449">
        <v>0</v>
      </c>
      <c r="L49" s="401">
        <f>F49*K49</f>
        <v>0</v>
      </c>
      <c r="M49" s="450">
        <f>$M$17</f>
        <v>21</v>
      </c>
      <c r="N49" s="334">
        <v>4</v>
      </c>
      <c r="O49" s="196" t="s">
        <v>161</v>
      </c>
    </row>
    <row r="50" spans="1:15" s="196" customFormat="1" ht="13.5" customHeight="1">
      <c r="A50" s="400" t="s">
        <v>289</v>
      </c>
      <c r="B50" s="415">
        <v>1</v>
      </c>
      <c r="C50" s="419" t="s">
        <v>983</v>
      </c>
      <c r="D50" s="451" t="s">
        <v>290</v>
      </c>
      <c r="E50" s="400" t="s">
        <v>256</v>
      </c>
      <c r="F50" s="401">
        <v>19.996</v>
      </c>
      <c r="G50" s="402"/>
      <c r="H50" s="402">
        <f>ROUND(F50*G50,2)</f>
        <v>0</v>
      </c>
      <c r="I50" s="449">
        <v>0.075</v>
      </c>
      <c r="J50" s="401">
        <f>F50*I50</f>
        <v>1.4996999999999998</v>
      </c>
      <c r="K50" s="449">
        <v>0</v>
      </c>
      <c r="L50" s="401">
        <f>F50*K50</f>
        <v>0</v>
      </c>
      <c r="M50" s="450">
        <f>$M$17</f>
        <v>21</v>
      </c>
      <c r="N50" s="336">
        <v>8</v>
      </c>
      <c r="O50" s="335" t="s">
        <v>161</v>
      </c>
    </row>
    <row r="51" spans="1:15" s="318" customFormat="1" ht="13.5" customHeight="1">
      <c r="A51" s="446"/>
      <c r="B51" s="404"/>
      <c r="C51" s="421"/>
      <c r="D51" s="446" t="s">
        <v>291</v>
      </c>
      <c r="E51" s="446"/>
      <c r="F51" s="446"/>
      <c r="G51" s="446"/>
      <c r="H51" s="447">
        <f>SUM(H52:H55)</f>
        <v>0</v>
      </c>
      <c r="I51" s="446"/>
      <c r="J51" s="448">
        <f>SUM(J52:J55)</f>
        <v>0</v>
      </c>
      <c r="K51" s="446"/>
      <c r="L51" s="448">
        <f>SUM(L52:L55)</f>
        <v>0</v>
      </c>
      <c r="M51" s="450"/>
      <c r="O51" s="320" t="s">
        <v>154</v>
      </c>
    </row>
    <row r="52" spans="1:15" s="196" customFormat="1" ht="13.5" customHeight="1">
      <c r="A52" s="400" t="s">
        <v>292</v>
      </c>
      <c r="B52" s="408">
        <v>1</v>
      </c>
      <c r="C52" s="419" t="s">
        <v>750</v>
      </c>
      <c r="D52" s="398" t="s">
        <v>293</v>
      </c>
      <c r="E52" s="400" t="s">
        <v>256</v>
      </c>
      <c r="F52" s="401">
        <v>39.4</v>
      </c>
      <c r="G52" s="402"/>
      <c r="H52" s="402">
        <f>ROUND(F52*G52,2)</f>
        <v>0</v>
      </c>
      <c r="I52" s="449">
        <v>0</v>
      </c>
      <c r="J52" s="401">
        <f>F52*I52</f>
        <v>0</v>
      </c>
      <c r="K52" s="449">
        <v>0</v>
      </c>
      <c r="L52" s="401">
        <f>F52*K52</f>
        <v>0</v>
      </c>
      <c r="M52" s="450">
        <f>$M$17</f>
        <v>21</v>
      </c>
      <c r="N52" s="334">
        <v>4</v>
      </c>
      <c r="O52" s="196" t="s">
        <v>161</v>
      </c>
    </row>
    <row r="53" spans="1:15" s="196" customFormat="1" ht="13.5" customHeight="1">
      <c r="A53" s="400" t="s">
        <v>294</v>
      </c>
      <c r="B53" s="408">
        <v>1</v>
      </c>
      <c r="C53" s="419" t="s">
        <v>751</v>
      </c>
      <c r="D53" s="398" t="s">
        <v>295</v>
      </c>
      <c r="E53" s="400" t="s">
        <v>268</v>
      </c>
      <c r="F53" s="401">
        <v>34.168</v>
      </c>
      <c r="G53" s="402"/>
      <c r="H53" s="402">
        <f>ROUND(F53*G53,2)</f>
        <v>0</v>
      </c>
      <c r="I53" s="449">
        <v>0</v>
      </c>
      <c r="J53" s="401">
        <f>F53*I53</f>
        <v>0</v>
      </c>
      <c r="K53" s="449">
        <v>0</v>
      </c>
      <c r="L53" s="401">
        <f>F53*K53</f>
        <v>0</v>
      </c>
      <c r="M53" s="450">
        <f>$M$17</f>
        <v>21</v>
      </c>
      <c r="N53" s="334">
        <v>4</v>
      </c>
      <c r="O53" s="196" t="s">
        <v>161</v>
      </c>
    </row>
    <row r="54" spans="1:15" s="196" customFormat="1" ht="13.5" customHeight="1">
      <c r="A54" s="400" t="s">
        <v>296</v>
      </c>
      <c r="B54" s="408">
        <v>1</v>
      </c>
      <c r="C54" s="419" t="s">
        <v>752</v>
      </c>
      <c r="D54" s="398" t="s">
        <v>297</v>
      </c>
      <c r="E54" s="400" t="s">
        <v>268</v>
      </c>
      <c r="F54" s="401">
        <v>307.512</v>
      </c>
      <c r="G54" s="402"/>
      <c r="H54" s="402">
        <f>ROUND(F54*G54,2)</f>
        <v>0</v>
      </c>
      <c r="I54" s="449">
        <v>0</v>
      </c>
      <c r="J54" s="401">
        <f>F54*I54</f>
        <v>0</v>
      </c>
      <c r="K54" s="449">
        <v>0</v>
      </c>
      <c r="L54" s="401">
        <f>F54*K54</f>
        <v>0</v>
      </c>
      <c r="M54" s="450">
        <f>$M$17</f>
        <v>21</v>
      </c>
      <c r="N54" s="334">
        <v>4</v>
      </c>
      <c r="O54" s="196" t="s">
        <v>161</v>
      </c>
    </row>
    <row r="55" spans="1:15" s="196" customFormat="1" ht="13.5" customHeight="1">
      <c r="A55" s="400" t="s">
        <v>298</v>
      </c>
      <c r="B55" s="408">
        <v>1</v>
      </c>
      <c r="C55" s="419" t="s">
        <v>753</v>
      </c>
      <c r="D55" s="398" t="s">
        <v>299</v>
      </c>
      <c r="E55" s="400" t="s">
        <v>268</v>
      </c>
      <c r="F55" s="401">
        <v>34.168</v>
      </c>
      <c r="G55" s="402"/>
      <c r="H55" s="402">
        <f>ROUND(F55*G55,2)</f>
        <v>0</v>
      </c>
      <c r="I55" s="449">
        <v>0</v>
      </c>
      <c r="J55" s="401">
        <f>F55*I55</f>
        <v>0</v>
      </c>
      <c r="K55" s="449">
        <v>0</v>
      </c>
      <c r="L55" s="401">
        <f>F55*K55</f>
        <v>0</v>
      </c>
      <c r="M55" s="450">
        <f>$M$17</f>
        <v>21</v>
      </c>
      <c r="N55" s="334">
        <v>4</v>
      </c>
      <c r="O55" s="196" t="s">
        <v>161</v>
      </c>
    </row>
    <row r="56" spans="1:15" s="318" customFormat="1" ht="13.5" customHeight="1">
      <c r="A56" s="446"/>
      <c r="B56" s="404"/>
      <c r="C56" s="421"/>
      <c r="D56" s="446" t="s">
        <v>301</v>
      </c>
      <c r="E56" s="446"/>
      <c r="F56" s="446"/>
      <c r="G56" s="446"/>
      <c r="H56" s="447">
        <f>H57</f>
        <v>0</v>
      </c>
      <c r="I56" s="446"/>
      <c r="J56" s="448">
        <f>J57</f>
        <v>0</v>
      </c>
      <c r="K56" s="446"/>
      <c r="L56" s="448">
        <f>L57</f>
        <v>0</v>
      </c>
      <c r="M56" s="450"/>
      <c r="O56" s="320" t="s">
        <v>154</v>
      </c>
    </row>
    <row r="57" spans="1:15" s="196" customFormat="1" ht="13.5" customHeight="1">
      <c r="A57" s="400" t="s">
        <v>302</v>
      </c>
      <c r="B57" s="403">
        <v>1</v>
      </c>
      <c r="C57" s="419" t="s">
        <v>754</v>
      </c>
      <c r="D57" s="398" t="s">
        <v>303</v>
      </c>
      <c r="E57" s="400" t="s">
        <v>268</v>
      </c>
      <c r="F57" s="401">
        <v>114.245</v>
      </c>
      <c r="G57" s="402"/>
      <c r="H57" s="402">
        <f>ROUND(F57*G57,2)</f>
        <v>0</v>
      </c>
      <c r="I57" s="449">
        <v>0</v>
      </c>
      <c r="J57" s="401">
        <f>F57*I57</f>
        <v>0</v>
      </c>
      <c r="K57" s="449">
        <v>0</v>
      </c>
      <c r="L57" s="401">
        <f>F57*K57</f>
        <v>0</v>
      </c>
      <c r="M57" s="450">
        <f>$M$17</f>
        <v>21</v>
      </c>
      <c r="N57" s="334">
        <v>4</v>
      </c>
      <c r="O57" s="196" t="s">
        <v>161</v>
      </c>
    </row>
    <row r="58" spans="1:15" s="318" customFormat="1" ht="13.5" customHeight="1">
      <c r="A58" s="446"/>
      <c r="B58" s="404"/>
      <c r="C58" s="421"/>
      <c r="D58" s="446" t="s">
        <v>304</v>
      </c>
      <c r="E58" s="446"/>
      <c r="F58" s="446"/>
      <c r="G58" s="446"/>
      <c r="H58" s="447">
        <f>H59</f>
        <v>0</v>
      </c>
      <c r="I58" s="446"/>
      <c r="J58" s="448">
        <f>J59</f>
        <v>0</v>
      </c>
      <c r="K58" s="446"/>
      <c r="L58" s="448">
        <f>L59</f>
        <v>0</v>
      </c>
      <c r="M58" s="450"/>
      <c r="O58" s="315" t="s">
        <v>244</v>
      </c>
    </row>
    <row r="59" spans="1:15" s="318" customFormat="1" ht="13.5" customHeight="1">
      <c r="A59" s="446"/>
      <c r="B59" s="404"/>
      <c r="C59" s="421"/>
      <c r="D59" s="446" t="s">
        <v>306</v>
      </c>
      <c r="E59" s="446"/>
      <c r="F59" s="446"/>
      <c r="G59" s="446"/>
      <c r="H59" s="447">
        <f>SUM(H60:H61)</f>
        <v>0</v>
      </c>
      <c r="I59" s="446"/>
      <c r="J59" s="448">
        <f>SUM(J60:J61)</f>
        <v>0</v>
      </c>
      <c r="K59" s="446"/>
      <c r="L59" s="448">
        <f>SUM(L60:L61)</f>
        <v>0</v>
      </c>
      <c r="M59" s="450"/>
      <c r="O59" s="320" t="s">
        <v>154</v>
      </c>
    </row>
    <row r="60" spans="1:15" s="196" customFormat="1" ht="13.5" customHeight="1">
      <c r="A60" s="400" t="s">
        <v>307</v>
      </c>
      <c r="B60" s="403">
        <v>1</v>
      </c>
      <c r="C60" s="419" t="s">
        <v>980</v>
      </c>
      <c r="D60" s="398" t="s">
        <v>308</v>
      </c>
      <c r="E60" s="400" t="s">
        <v>309</v>
      </c>
      <c r="F60" s="401">
        <v>1</v>
      </c>
      <c r="G60" s="402"/>
      <c r="H60" s="402">
        <f>ROUND(F60*G60,2)</f>
        <v>0</v>
      </c>
      <c r="I60" s="449">
        <v>0</v>
      </c>
      <c r="J60" s="401">
        <f>F60*I60</f>
        <v>0</v>
      </c>
      <c r="K60" s="449">
        <v>0</v>
      </c>
      <c r="L60" s="401">
        <f>F60*K60</f>
        <v>0</v>
      </c>
      <c r="M60" s="450">
        <f>$M$17</f>
        <v>21</v>
      </c>
      <c r="N60" s="334">
        <v>64</v>
      </c>
      <c r="O60" s="196" t="s">
        <v>161</v>
      </c>
    </row>
    <row r="61" spans="1:15" s="196" customFormat="1" ht="13.5" customHeight="1">
      <c r="A61" s="400" t="s">
        <v>310</v>
      </c>
      <c r="B61" s="403">
        <v>1</v>
      </c>
      <c r="C61" s="419" t="s">
        <v>981</v>
      </c>
      <c r="D61" s="398" t="s">
        <v>997</v>
      </c>
      <c r="E61" s="400" t="s">
        <v>256</v>
      </c>
      <c r="F61" s="401">
        <v>19.7</v>
      </c>
      <c r="G61" s="402"/>
      <c r="H61" s="402">
        <f>ROUND(F61*G61,2)</f>
        <v>0</v>
      </c>
      <c r="I61" s="449">
        <v>0</v>
      </c>
      <c r="J61" s="401">
        <f>F61*I61</f>
        <v>0</v>
      </c>
      <c r="K61" s="449">
        <v>0</v>
      </c>
      <c r="L61" s="401">
        <f>F61*K61</f>
        <v>0</v>
      </c>
      <c r="M61" s="450">
        <f>$M$17</f>
        <v>21</v>
      </c>
      <c r="N61" s="334">
        <v>64</v>
      </c>
      <c r="O61" s="196" t="s">
        <v>161</v>
      </c>
    </row>
    <row r="62" spans="1:13" s="323" customFormat="1" ht="13.5" customHeight="1">
      <c r="A62" s="399"/>
      <c r="B62" s="399"/>
      <c r="C62" s="399"/>
      <c r="D62" s="399" t="s">
        <v>124</v>
      </c>
      <c r="E62" s="399"/>
      <c r="F62" s="399"/>
      <c r="G62" s="399"/>
      <c r="H62" s="454">
        <f>H14+H58</f>
        <v>0</v>
      </c>
      <c r="I62" s="399"/>
      <c r="J62" s="455">
        <f>J14+J58</f>
        <v>114.24494969999999</v>
      </c>
      <c r="K62" s="399"/>
      <c r="L62" s="455">
        <f>L14+L58</f>
        <v>34.167680000000004</v>
      </c>
      <c r="M62" s="399"/>
    </row>
  </sheetData>
  <sheetProtection/>
  <mergeCells count="1">
    <mergeCell ref="B9: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r:id="rId1"/>
  <headerFooter>
    <oddFooter>&amp;CList &amp;A</oddFooter>
  </headerFooter>
  <rowBreaks count="1" manualBreakCount="1">
    <brk id="5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U39" sqref="U39"/>
    </sheetView>
  </sheetViews>
  <sheetFormatPr defaultColWidth="9.140625" defaultRowHeight="12.75" customHeight="1"/>
  <cols>
    <col min="1" max="1" width="2.421875" style="184" customWidth="1"/>
    <col min="2" max="2" width="1.8515625" style="184" customWidth="1"/>
    <col min="3" max="3" width="2.7109375" style="184" customWidth="1"/>
    <col min="4" max="4" width="6.8515625" style="184" customWidth="1"/>
    <col min="5" max="5" width="13.57421875" style="184" customWidth="1"/>
    <col min="6" max="6" width="0.5625" style="184" customWidth="1"/>
    <col min="7" max="7" width="2.57421875" style="184" customWidth="1"/>
    <col min="8" max="8" width="2.7109375" style="184" customWidth="1"/>
    <col min="9" max="9" width="9.7109375" style="184" customWidth="1"/>
    <col min="10" max="10" width="13.57421875" style="184" customWidth="1"/>
    <col min="11" max="11" width="0.71875" style="184" customWidth="1"/>
    <col min="12" max="12" width="2.421875" style="184" customWidth="1"/>
    <col min="13" max="13" width="2.8515625" style="184" customWidth="1"/>
    <col min="14" max="14" width="2.00390625" style="184" customWidth="1"/>
    <col min="15" max="15" width="12.7109375" style="184" customWidth="1"/>
    <col min="16" max="16" width="2.8515625" style="184" customWidth="1"/>
    <col min="17" max="17" width="2.00390625" style="184" customWidth="1"/>
    <col min="18" max="18" width="13.57421875" style="184" customWidth="1"/>
    <col min="19" max="19" width="0.5625" style="184" customWidth="1"/>
    <col min="20" max="16384" width="9.140625" style="184" customWidth="1"/>
  </cols>
  <sheetData>
    <row r="1" spans="1:19" ht="12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3.25" customHeight="1">
      <c r="A2" s="185"/>
      <c r="B2" s="186"/>
      <c r="C2" s="186"/>
      <c r="D2" s="186"/>
      <c r="E2" s="186"/>
      <c r="F2" s="186"/>
      <c r="G2" s="187" t="s">
        <v>125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</row>
    <row r="3" spans="1:19" ht="12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1:19" ht="8.2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1:19" ht="15" customHeight="1">
      <c r="A5" s="195"/>
      <c r="B5" s="196" t="s">
        <v>126</v>
      </c>
      <c r="C5" s="196"/>
      <c r="D5" s="196"/>
      <c r="E5" s="85" t="s">
        <v>619</v>
      </c>
      <c r="F5" s="198"/>
      <c r="G5" s="198"/>
      <c r="H5" s="198"/>
      <c r="I5" s="198"/>
      <c r="J5" s="199"/>
      <c r="K5" s="196"/>
      <c r="L5" s="196"/>
      <c r="M5" s="196"/>
      <c r="N5" s="196"/>
      <c r="O5" s="196" t="s">
        <v>127</v>
      </c>
      <c r="P5" s="197" t="s">
        <v>215</v>
      </c>
      <c r="Q5" s="200"/>
      <c r="R5" s="199"/>
      <c r="S5" s="201"/>
    </row>
    <row r="6" spans="1:19" ht="17.25" customHeight="1" hidden="1">
      <c r="A6" s="195"/>
      <c r="B6" s="196" t="s">
        <v>216</v>
      </c>
      <c r="C6" s="196"/>
      <c r="D6" s="196"/>
      <c r="E6" s="202" t="s">
        <v>83</v>
      </c>
      <c r="F6" s="196"/>
      <c r="G6" s="196"/>
      <c r="H6" s="196"/>
      <c r="I6" s="196"/>
      <c r="J6" s="203"/>
      <c r="K6" s="196"/>
      <c r="L6" s="196"/>
      <c r="M6" s="196"/>
      <c r="N6" s="196"/>
      <c r="O6" s="196"/>
      <c r="P6" s="204"/>
      <c r="Q6" s="205"/>
      <c r="R6" s="203"/>
      <c r="S6" s="201"/>
    </row>
    <row r="7" spans="1:19" ht="17.25" customHeight="1">
      <c r="A7" s="195"/>
      <c r="B7" s="196" t="s">
        <v>128</v>
      </c>
      <c r="C7" s="196"/>
      <c r="D7" s="196"/>
      <c r="E7" s="202" t="s">
        <v>129</v>
      </c>
      <c r="F7" s="196"/>
      <c r="G7" s="196"/>
      <c r="H7" s="196"/>
      <c r="I7" s="196"/>
      <c r="J7" s="203"/>
      <c r="K7" s="196"/>
      <c r="L7" s="196"/>
      <c r="M7" s="196"/>
      <c r="N7" s="196"/>
      <c r="O7" s="196" t="s">
        <v>130</v>
      </c>
      <c r="P7" s="202"/>
      <c r="Q7" s="205"/>
      <c r="R7" s="203"/>
      <c r="S7" s="201"/>
    </row>
    <row r="8" spans="1:19" ht="17.25" customHeight="1" hidden="1">
      <c r="A8" s="195"/>
      <c r="B8" s="196" t="s">
        <v>217</v>
      </c>
      <c r="C8" s="196"/>
      <c r="D8" s="196"/>
      <c r="E8" s="202" t="s">
        <v>84</v>
      </c>
      <c r="F8" s="196"/>
      <c r="G8" s="196"/>
      <c r="H8" s="196"/>
      <c r="I8" s="196"/>
      <c r="J8" s="203"/>
      <c r="K8" s="196"/>
      <c r="L8" s="196"/>
      <c r="M8" s="196"/>
      <c r="N8" s="196"/>
      <c r="O8" s="196"/>
      <c r="P8" s="204"/>
      <c r="Q8" s="205"/>
      <c r="R8" s="203"/>
      <c r="S8" s="201"/>
    </row>
    <row r="9" spans="1:19" ht="17.25" customHeight="1">
      <c r="A9" s="195"/>
      <c r="B9" s="196" t="s">
        <v>131</v>
      </c>
      <c r="C9" s="196"/>
      <c r="D9" s="196"/>
      <c r="E9" s="206" t="s">
        <v>311</v>
      </c>
      <c r="F9" s="207"/>
      <c r="G9" s="207"/>
      <c r="H9" s="207"/>
      <c r="I9" s="207"/>
      <c r="J9" s="208"/>
      <c r="K9" s="196"/>
      <c r="L9" s="196"/>
      <c r="M9" s="196"/>
      <c r="N9" s="196"/>
      <c r="O9" s="196" t="s">
        <v>132</v>
      </c>
      <c r="P9" s="206"/>
      <c r="Q9" s="209"/>
      <c r="R9" s="208"/>
      <c r="S9" s="201"/>
    </row>
    <row r="10" spans="1:19" ht="17.25" customHeight="1" hidden="1">
      <c r="A10" s="195"/>
      <c r="B10" s="196" t="s">
        <v>219</v>
      </c>
      <c r="C10" s="196"/>
      <c r="D10" s="196"/>
      <c r="E10" s="210" t="s">
        <v>88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05"/>
      <c r="Q10" s="205"/>
      <c r="R10" s="196"/>
      <c r="S10" s="201"/>
    </row>
    <row r="11" spans="1:19" ht="17.25" customHeight="1" hidden="1">
      <c r="A11" s="195"/>
      <c r="B11" s="196" t="s">
        <v>220</v>
      </c>
      <c r="C11" s="196"/>
      <c r="D11" s="196"/>
      <c r="E11" s="211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5"/>
      <c r="Q11" s="205"/>
      <c r="R11" s="196"/>
      <c r="S11" s="201"/>
    </row>
    <row r="12" spans="1:19" ht="17.25" customHeight="1" hidden="1">
      <c r="A12" s="195"/>
      <c r="B12" s="196" t="s">
        <v>221</v>
      </c>
      <c r="C12" s="196"/>
      <c r="D12" s="196"/>
      <c r="E12" s="211" t="s">
        <v>215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05"/>
      <c r="Q12" s="205"/>
      <c r="R12" s="196"/>
      <c r="S12" s="201"/>
    </row>
    <row r="13" spans="1:19" ht="17.25" customHeight="1" hidden="1">
      <c r="A13" s="195"/>
      <c r="B13" s="196"/>
      <c r="C13" s="196"/>
      <c r="D13" s="196"/>
      <c r="E13" s="211" t="s">
        <v>215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05"/>
      <c r="Q13" s="205"/>
      <c r="R13" s="196"/>
      <c r="S13" s="201"/>
    </row>
    <row r="14" spans="1:19" ht="17.25" customHeight="1" hidden="1">
      <c r="A14" s="195"/>
      <c r="B14" s="196"/>
      <c r="C14" s="196"/>
      <c r="D14" s="196"/>
      <c r="E14" s="211" t="s">
        <v>215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205"/>
      <c r="Q14" s="205"/>
      <c r="R14" s="196"/>
      <c r="S14" s="201"/>
    </row>
    <row r="15" spans="1:19" ht="17.25" customHeight="1" hidden="1">
      <c r="A15" s="195"/>
      <c r="B15" s="196"/>
      <c r="C15" s="196"/>
      <c r="D15" s="196"/>
      <c r="E15" s="211" t="s">
        <v>215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05"/>
      <c r="Q15" s="205"/>
      <c r="R15" s="196"/>
      <c r="S15" s="201"/>
    </row>
    <row r="16" spans="1:19" ht="17.25" customHeight="1" hidden="1">
      <c r="A16" s="195"/>
      <c r="B16" s="196"/>
      <c r="C16" s="196"/>
      <c r="D16" s="196"/>
      <c r="E16" s="211" t="s">
        <v>215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05"/>
      <c r="Q16" s="205"/>
      <c r="R16" s="196"/>
      <c r="S16" s="201"/>
    </row>
    <row r="17" spans="1:19" ht="17.25" customHeight="1" hidden="1">
      <c r="A17" s="195"/>
      <c r="B17" s="196"/>
      <c r="C17" s="196"/>
      <c r="D17" s="196"/>
      <c r="E17" s="211" t="s">
        <v>215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205"/>
      <c r="Q17" s="205"/>
      <c r="R17" s="196"/>
      <c r="S17" s="201"/>
    </row>
    <row r="18" spans="1:19" ht="17.25" customHeight="1" hidden="1">
      <c r="A18" s="195"/>
      <c r="B18" s="196"/>
      <c r="C18" s="196"/>
      <c r="D18" s="196"/>
      <c r="E18" s="211" t="s">
        <v>215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05"/>
      <c r="Q18" s="205"/>
      <c r="R18" s="196"/>
      <c r="S18" s="201"/>
    </row>
    <row r="19" spans="1:19" ht="17.25" customHeight="1" hidden="1">
      <c r="A19" s="195"/>
      <c r="B19" s="196"/>
      <c r="C19" s="196"/>
      <c r="D19" s="196"/>
      <c r="E19" s="211" t="s">
        <v>215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05"/>
      <c r="Q19" s="205"/>
      <c r="R19" s="196"/>
      <c r="S19" s="201"/>
    </row>
    <row r="20" spans="1:19" ht="17.25" customHeight="1" hidden="1">
      <c r="A20" s="195"/>
      <c r="B20" s="196"/>
      <c r="C20" s="196"/>
      <c r="D20" s="196"/>
      <c r="E20" s="211" t="s">
        <v>215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205"/>
      <c r="Q20" s="205"/>
      <c r="R20" s="196"/>
      <c r="S20" s="201"/>
    </row>
    <row r="21" spans="1:19" ht="17.25" customHeight="1" hidden="1">
      <c r="A21" s="195"/>
      <c r="B21" s="196"/>
      <c r="C21" s="196"/>
      <c r="D21" s="196"/>
      <c r="E21" s="211" t="s">
        <v>215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05"/>
      <c r="Q21" s="205"/>
      <c r="R21" s="196"/>
      <c r="S21" s="201"/>
    </row>
    <row r="22" spans="1:19" ht="17.25" customHeight="1" hidden="1">
      <c r="A22" s="195"/>
      <c r="B22" s="196"/>
      <c r="C22" s="196"/>
      <c r="D22" s="196"/>
      <c r="E22" s="211" t="s">
        <v>215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205"/>
      <c r="Q22" s="205"/>
      <c r="R22" s="196"/>
      <c r="S22" s="201"/>
    </row>
    <row r="23" spans="1:19" ht="17.25" customHeight="1" hidden="1">
      <c r="A23" s="195"/>
      <c r="B23" s="196"/>
      <c r="C23" s="196"/>
      <c r="D23" s="196"/>
      <c r="E23" s="211" t="s">
        <v>215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205"/>
      <c r="Q23" s="205"/>
      <c r="R23" s="196"/>
      <c r="S23" s="201"/>
    </row>
    <row r="24" spans="1:19" ht="17.25" customHeight="1" hidden="1">
      <c r="A24" s="195"/>
      <c r="B24" s="196"/>
      <c r="C24" s="196"/>
      <c r="D24" s="196"/>
      <c r="E24" s="211" t="s">
        <v>215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05"/>
      <c r="Q24" s="205"/>
      <c r="R24" s="196"/>
      <c r="S24" s="201"/>
    </row>
    <row r="25" spans="1:19" ht="17.2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 t="s">
        <v>14</v>
      </c>
      <c r="P25" s="196" t="s">
        <v>15</v>
      </c>
      <c r="Q25" s="196"/>
      <c r="R25" s="196"/>
      <c r="S25" s="201"/>
    </row>
    <row r="26" spans="1:19" ht="17.25" customHeight="1">
      <c r="A26" s="195"/>
      <c r="B26" s="196" t="s">
        <v>133</v>
      </c>
      <c r="C26" s="196"/>
      <c r="D26" s="196"/>
      <c r="E26" s="197" t="s">
        <v>215</v>
      </c>
      <c r="F26" s="198"/>
      <c r="G26" s="198"/>
      <c r="H26" s="198"/>
      <c r="I26" s="198"/>
      <c r="J26" s="199"/>
      <c r="K26" s="196"/>
      <c r="L26" s="196"/>
      <c r="M26" s="196"/>
      <c r="N26" s="196"/>
      <c r="O26" s="212"/>
      <c r="P26" s="213"/>
      <c r="Q26" s="214"/>
      <c r="R26" s="215"/>
      <c r="S26" s="201"/>
    </row>
    <row r="27" spans="1:19" ht="17.25" customHeight="1">
      <c r="A27" s="195"/>
      <c r="B27" s="196" t="s">
        <v>134</v>
      </c>
      <c r="C27" s="196"/>
      <c r="D27" s="196"/>
      <c r="E27" s="202"/>
      <c r="F27" s="196"/>
      <c r="G27" s="196"/>
      <c r="H27" s="196"/>
      <c r="I27" s="196"/>
      <c r="J27" s="203"/>
      <c r="K27" s="196"/>
      <c r="L27" s="196"/>
      <c r="M27" s="196"/>
      <c r="N27" s="196"/>
      <c r="O27" s="212"/>
      <c r="P27" s="213"/>
      <c r="Q27" s="214"/>
      <c r="R27" s="215"/>
      <c r="S27" s="201"/>
    </row>
    <row r="28" spans="1:19" ht="17.25" customHeight="1">
      <c r="A28" s="195"/>
      <c r="B28" s="196" t="s">
        <v>135</v>
      </c>
      <c r="C28" s="196"/>
      <c r="D28" s="196"/>
      <c r="E28" s="202" t="s">
        <v>215</v>
      </c>
      <c r="F28" s="196"/>
      <c r="G28" s="196"/>
      <c r="H28" s="196"/>
      <c r="I28" s="196"/>
      <c r="J28" s="203"/>
      <c r="K28" s="196"/>
      <c r="L28" s="196"/>
      <c r="M28" s="196"/>
      <c r="N28" s="196"/>
      <c r="O28" s="212"/>
      <c r="P28" s="213"/>
      <c r="Q28" s="214"/>
      <c r="R28" s="215"/>
      <c r="S28" s="201"/>
    </row>
    <row r="29" spans="1:19" ht="17.25" customHeight="1">
      <c r="A29" s="195"/>
      <c r="B29" s="196"/>
      <c r="C29" s="196"/>
      <c r="D29" s="196"/>
      <c r="E29" s="206"/>
      <c r="F29" s="207"/>
      <c r="G29" s="207"/>
      <c r="H29" s="207"/>
      <c r="I29" s="207"/>
      <c r="J29" s="208"/>
      <c r="K29" s="196"/>
      <c r="L29" s="196"/>
      <c r="M29" s="196"/>
      <c r="N29" s="196"/>
      <c r="O29" s="205"/>
      <c r="P29" s="205"/>
      <c r="Q29" s="205"/>
      <c r="R29" s="196"/>
      <c r="S29" s="201"/>
    </row>
    <row r="30" spans="1:19" ht="17.25" customHeight="1">
      <c r="A30" s="195"/>
      <c r="B30" s="196"/>
      <c r="C30" s="196"/>
      <c r="D30" s="196"/>
      <c r="E30" s="210" t="s">
        <v>136</v>
      </c>
      <c r="F30" s="196"/>
      <c r="G30" s="196" t="s">
        <v>137</v>
      </c>
      <c r="H30" s="196"/>
      <c r="I30" s="196"/>
      <c r="J30" s="196"/>
      <c r="K30" s="196"/>
      <c r="L30" s="196"/>
      <c r="M30" s="196"/>
      <c r="N30" s="196"/>
      <c r="O30" s="210" t="s">
        <v>138</v>
      </c>
      <c r="P30" s="205"/>
      <c r="Q30" s="205"/>
      <c r="R30" s="216"/>
      <c r="S30" s="201"/>
    </row>
    <row r="31" spans="1:19" ht="17.25" customHeight="1">
      <c r="A31" s="195"/>
      <c r="B31" s="196"/>
      <c r="C31" s="196"/>
      <c r="D31" s="196"/>
      <c r="E31" s="212"/>
      <c r="F31" s="196"/>
      <c r="G31" s="213"/>
      <c r="H31" s="217"/>
      <c r="I31" s="218"/>
      <c r="J31" s="196"/>
      <c r="K31" s="196"/>
      <c r="L31" s="196"/>
      <c r="M31" s="196"/>
      <c r="N31" s="196"/>
      <c r="O31" s="219" t="s">
        <v>139</v>
      </c>
      <c r="P31" s="205"/>
      <c r="Q31" s="205"/>
      <c r="R31" s="220"/>
      <c r="S31" s="201"/>
    </row>
    <row r="32" spans="1:19" ht="8.2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20.25" customHeight="1">
      <c r="A33" s="224"/>
      <c r="B33" s="225"/>
      <c r="C33" s="225"/>
      <c r="D33" s="225"/>
      <c r="E33" s="226" t="s">
        <v>222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7"/>
    </row>
    <row r="34" spans="1:19" ht="20.25" customHeight="1">
      <c r="A34" s="228" t="s">
        <v>141</v>
      </c>
      <c r="B34" s="229"/>
      <c r="C34" s="229"/>
      <c r="D34" s="230"/>
      <c r="E34" s="231" t="s">
        <v>142</v>
      </c>
      <c r="F34" s="230"/>
      <c r="G34" s="231" t="s">
        <v>143</v>
      </c>
      <c r="H34" s="229"/>
      <c r="I34" s="230"/>
      <c r="J34" s="231" t="s">
        <v>144</v>
      </c>
      <c r="K34" s="229"/>
      <c r="L34" s="231" t="s">
        <v>145</v>
      </c>
      <c r="M34" s="229"/>
      <c r="N34" s="229"/>
      <c r="O34" s="230"/>
      <c r="P34" s="231" t="s">
        <v>146</v>
      </c>
      <c r="Q34" s="229"/>
      <c r="R34" s="229"/>
      <c r="S34" s="232"/>
    </row>
    <row r="35" spans="1:19" ht="20.25" customHeight="1">
      <c r="A35" s="233"/>
      <c r="B35" s="234"/>
      <c r="C35" s="234"/>
      <c r="D35" s="235">
        <v>0</v>
      </c>
      <c r="E35" s="236">
        <f>IF(D35=0,0,R47/D35)</f>
        <v>0</v>
      </c>
      <c r="F35" s="237"/>
      <c r="G35" s="238"/>
      <c r="H35" s="234"/>
      <c r="I35" s="235">
        <v>0</v>
      </c>
      <c r="J35" s="236">
        <f>IF(I35=0,0,R47/I35)</f>
        <v>0</v>
      </c>
      <c r="K35" s="239"/>
      <c r="L35" s="238"/>
      <c r="M35" s="234"/>
      <c r="N35" s="234"/>
      <c r="O35" s="235">
        <v>0</v>
      </c>
      <c r="P35" s="238"/>
      <c r="Q35" s="234"/>
      <c r="R35" s="240">
        <f>IF(O35=0,0,R47/O35)</f>
        <v>0</v>
      </c>
      <c r="S35" s="241"/>
    </row>
    <row r="36" spans="1:19" ht="20.25" customHeight="1">
      <c r="A36" s="224"/>
      <c r="B36" s="225"/>
      <c r="C36" s="225"/>
      <c r="D36" s="225"/>
      <c r="E36" s="226" t="s">
        <v>223</v>
      </c>
      <c r="F36" s="225"/>
      <c r="G36" s="225"/>
      <c r="H36" s="225"/>
      <c r="I36" s="225"/>
      <c r="J36" s="242" t="s">
        <v>18</v>
      </c>
      <c r="K36" s="225"/>
      <c r="L36" s="225"/>
      <c r="M36" s="225"/>
      <c r="N36" s="225"/>
      <c r="O36" s="225"/>
      <c r="P36" s="225"/>
      <c r="Q36" s="225"/>
      <c r="R36" s="225"/>
      <c r="S36" s="227"/>
    </row>
    <row r="37" spans="1:19" ht="20.25" customHeight="1">
      <c r="A37" s="243" t="s">
        <v>148</v>
      </c>
      <c r="B37" s="244"/>
      <c r="C37" s="245" t="s">
        <v>149</v>
      </c>
      <c r="D37" s="246"/>
      <c r="E37" s="246"/>
      <c r="F37" s="247"/>
      <c r="G37" s="243" t="s">
        <v>150</v>
      </c>
      <c r="H37" s="248"/>
      <c r="I37" s="245" t="s">
        <v>151</v>
      </c>
      <c r="J37" s="246"/>
      <c r="K37" s="246"/>
      <c r="L37" s="243" t="s">
        <v>152</v>
      </c>
      <c r="M37" s="248"/>
      <c r="N37" s="245" t="s">
        <v>153</v>
      </c>
      <c r="O37" s="246"/>
      <c r="P37" s="246"/>
      <c r="Q37" s="246"/>
      <c r="R37" s="246"/>
      <c r="S37" s="247"/>
    </row>
    <row r="38" spans="1:19" ht="20.25" customHeight="1">
      <c r="A38" s="249">
        <v>1</v>
      </c>
      <c r="B38" s="250" t="s">
        <v>155</v>
      </c>
      <c r="C38" s="199"/>
      <c r="D38" s="251" t="s">
        <v>156</v>
      </c>
      <c r="E38" s="252" t="e">
        <f>SUMIF('[2]Rozpocet'!O5:O65535,8,'[2]Rozpocet'!I5:I65535)</f>
        <v>#VALUE!</v>
      </c>
      <c r="F38" s="253"/>
      <c r="G38" s="249">
        <v>8</v>
      </c>
      <c r="H38" s="254" t="s">
        <v>158</v>
      </c>
      <c r="I38" s="215"/>
      <c r="J38" s="255">
        <v>0</v>
      </c>
      <c r="K38" s="256"/>
      <c r="L38" s="249">
        <v>13</v>
      </c>
      <c r="M38" s="213" t="s">
        <v>160</v>
      </c>
      <c r="N38" s="217"/>
      <c r="O38" s="217"/>
      <c r="P38" s="257">
        <f>M49</f>
        <v>19</v>
      </c>
      <c r="Q38" s="258" t="s">
        <v>9</v>
      </c>
      <c r="R38" s="252">
        <v>256249.47</v>
      </c>
      <c r="S38" s="253"/>
    </row>
    <row r="39" spans="1:19" ht="20.25" customHeight="1">
      <c r="A39" s="249">
        <v>2</v>
      </c>
      <c r="B39" s="259"/>
      <c r="C39" s="208"/>
      <c r="D39" s="251" t="s">
        <v>162</v>
      </c>
      <c r="E39" s="252" t="e">
        <f>SUMIF('[2]Rozpocet'!O10:O65536,4,'[2]Rozpocet'!I10:I65536)</f>
        <v>#VALUE!</v>
      </c>
      <c r="F39" s="253"/>
      <c r="G39" s="249">
        <v>9</v>
      </c>
      <c r="H39" s="196" t="s">
        <v>164</v>
      </c>
      <c r="I39" s="251"/>
      <c r="J39" s="255">
        <v>0</v>
      </c>
      <c r="K39" s="256"/>
      <c r="L39" s="249">
        <v>14</v>
      </c>
      <c r="M39" s="213" t="s">
        <v>166</v>
      </c>
      <c r="N39" s="217"/>
      <c r="O39" s="217"/>
      <c r="P39" s="257">
        <f>M49</f>
        <v>19</v>
      </c>
      <c r="Q39" s="258" t="s">
        <v>9</v>
      </c>
      <c r="R39" s="252">
        <v>0</v>
      </c>
      <c r="S39" s="253"/>
    </row>
    <row r="40" spans="1:19" ht="20.25" customHeight="1">
      <c r="A40" s="249">
        <v>3</v>
      </c>
      <c r="B40" s="250" t="s">
        <v>168</v>
      </c>
      <c r="C40" s="199"/>
      <c r="D40" s="251" t="s">
        <v>156</v>
      </c>
      <c r="E40" s="252" t="e">
        <f>SUMIF('[2]Rozpocet'!O11:O65536,32,'[2]Rozpocet'!I11:I65536)</f>
        <v>#VALUE!</v>
      </c>
      <c r="F40" s="253"/>
      <c r="G40" s="249">
        <v>10</v>
      </c>
      <c r="H40" s="254" t="s">
        <v>170</v>
      </c>
      <c r="I40" s="215"/>
      <c r="J40" s="255">
        <v>0</v>
      </c>
      <c r="K40" s="256"/>
      <c r="L40" s="249">
        <v>15</v>
      </c>
      <c r="M40" s="213" t="s">
        <v>172</v>
      </c>
      <c r="N40" s="217"/>
      <c r="O40" s="217"/>
      <c r="P40" s="257">
        <f>M49</f>
        <v>19</v>
      </c>
      <c r="Q40" s="258" t="s">
        <v>9</v>
      </c>
      <c r="R40" s="252">
        <v>0</v>
      </c>
      <c r="S40" s="253"/>
    </row>
    <row r="41" spans="1:19" ht="20.25" customHeight="1">
      <c r="A41" s="249">
        <v>4</v>
      </c>
      <c r="B41" s="259"/>
      <c r="C41" s="208"/>
      <c r="D41" s="251" t="s">
        <v>162</v>
      </c>
      <c r="E41" s="252" t="e">
        <f>SUMIF('[2]Rozpocet'!O12:O65536,16,'[2]Rozpocet'!I12:I65536)+SUMIF('[2]Rozpocet'!O12:O65536,128,'[2]Rozpocet'!I12:I65536)</f>
        <v>#VALUE!</v>
      </c>
      <c r="F41" s="253"/>
      <c r="G41" s="249">
        <v>11</v>
      </c>
      <c r="H41" s="254"/>
      <c r="I41" s="215"/>
      <c r="J41" s="255">
        <v>0</v>
      </c>
      <c r="K41" s="256"/>
      <c r="L41" s="249">
        <v>16</v>
      </c>
      <c r="M41" s="213" t="s">
        <v>176</v>
      </c>
      <c r="N41" s="217"/>
      <c r="O41" s="217"/>
      <c r="P41" s="257">
        <f>M49</f>
        <v>19</v>
      </c>
      <c r="Q41" s="258" t="s">
        <v>9</v>
      </c>
      <c r="R41" s="252">
        <v>0</v>
      </c>
      <c r="S41" s="253"/>
    </row>
    <row r="42" spans="1:19" ht="20.25" customHeight="1">
      <c r="A42" s="249">
        <v>5</v>
      </c>
      <c r="B42" s="250" t="s">
        <v>178</v>
      </c>
      <c r="C42" s="199"/>
      <c r="D42" s="251" t="s">
        <v>156</v>
      </c>
      <c r="E42" s="252" t="e">
        <f>SUMIF('[2]Rozpocet'!O13:O65536,256,'[2]Rozpocet'!I13:I65536)</f>
        <v>#VALUE!</v>
      </c>
      <c r="F42" s="253"/>
      <c r="G42" s="260"/>
      <c r="H42" s="217"/>
      <c r="I42" s="215"/>
      <c r="J42" s="261"/>
      <c r="K42" s="256"/>
      <c r="L42" s="249">
        <v>17</v>
      </c>
      <c r="M42" s="213" t="s">
        <v>180</v>
      </c>
      <c r="N42" s="217"/>
      <c r="O42" s="217"/>
      <c r="P42" s="257">
        <f>M49</f>
        <v>19</v>
      </c>
      <c r="Q42" s="258" t="s">
        <v>9</v>
      </c>
      <c r="R42" s="252">
        <v>0</v>
      </c>
      <c r="S42" s="253"/>
    </row>
    <row r="43" spans="1:19" ht="20.25" customHeight="1">
      <c r="A43" s="249">
        <v>6</v>
      </c>
      <c r="B43" s="259"/>
      <c r="C43" s="208"/>
      <c r="D43" s="251" t="s">
        <v>162</v>
      </c>
      <c r="E43" s="252" t="e">
        <f>SUMIF('[2]Rozpocet'!O14:O65536,64,'[2]Rozpocet'!I14:I65536)</f>
        <v>#VALUE!</v>
      </c>
      <c r="F43" s="253"/>
      <c r="G43" s="260"/>
      <c r="H43" s="217"/>
      <c r="I43" s="215"/>
      <c r="J43" s="261"/>
      <c r="K43" s="256"/>
      <c r="L43" s="249">
        <v>18</v>
      </c>
      <c r="M43" s="254" t="s">
        <v>183</v>
      </c>
      <c r="N43" s="217"/>
      <c r="O43" s="217"/>
      <c r="P43" s="217"/>
      <c r="Q43" s="215"/>
      <c r="R43" s="252" t="e">
        <f>SUMIF('[2]Rozpocet'!O14:O65536,1024,'[2]Rozpocet'!I14:I65536)</f>
        <v>#VALUE!</v>
      </c>
      <c r="S43" s="253"/>
    </row>
    <row r="44" spans="1:19" ht="20.25" customHeight="1">
      <c r="A44" s="249">
        <v>7</v>
      </c>
      <c r="B44" s="262" t="s">
        <v>185</v>
      </c>
      <c r="C44" s="217"/>
      <c r="D44" s="215"/>
      <c r="E44" s="263" t="e">
        <f>SUM(E38:E43)</f>
        <v>#VALUE!</v>
      </c>
      <c r="F44" s="227"/>
      <c r="G44" s="249">
        <v>12</v>
      </c>
      <c r="H44" s="262" t="s">
        <v>187</v>
      </c>
      <c r="I44" s="215"/>
      <c r="J44" s="264">
        <f>SUM(J38:J41)</f>
        <v>0</v>
      </c>
      <c r="K44" s="265"/>
      <c r="L44" s="249">
        <v>19</v>
      </c>
      <c r="M44" s="250" t="s">
        <v>189</v>
      </c>
      <c r="N44" s="198"/>
      <c r="O44" s="198"/>
      <c r="P44" s="198"/>
      <c r="Q44" s="266"/>
      <c r="R44" s="263" t="e">
        <f>SUM(R38:R43)+J45</f>
        <v>#VALUE!</v>
      </c>
      <c r="S44" s="227"/>
    </row>
    <row r="45" spans="1:19" ht="20.25" customHeight="1">
      <c r="A45" s="267">
        <v>20</v>
      </c>
      <c r="B45" s="268" t="s">
        <v>191</v>
      </c>
      <c r="C45" s="269"/>
      <c r="D45" s="270"/>
      <c r="E45" s="271" t="e">
        <f>SUMIF('[2]Rozpocet'!O14:O65536,512,'[2]Rozpocet'!I14:I65536)</f>
        <v>#VALUE!</v>
      </c>
      <c r="F45" s="223"/>
      <c r="G45" s="267">
        <v>21</v>
      </c>
      <c r="H45" s="268" t="s">
        <v>193</v>
      </c>
      <c r="I45" s="270"/>
      <c r="J45" s="272">
        <v>123823.83</v>
      </c>
      <c r="K45" s="273">
        <f>M49</f>
        <v>19</v>
      </c>
      <c r="L45" s="267">
        <v>22</v>
      </c>
      <c r="M45" s="268" t="s">
        <v>195</v>
      </c>
      <c r="N45" s="269"/>
      <c r="O45" s="269"/>
      <c r="P45" s="269"/>
      <c r="Q45" s="270"/>
      <c r="R45" s="271" t="e">
        <f>SUMIF('[2]Rozpocet'!O14:O65536,"&lt;4",'[2]Rozpocet'!I14:I65536)+SUMIF('[2]Rozpocet'!O14:O65536,"&gt;1024",'[2]Rozpocet'!I14:I65536)</f>
        <v>#VALUE!</v>
      </c>
      <c r="S45" s="223"/>
    </row>
    <row r="46" spans="1:19" ht="20.25" customHeight="1">
      <c r="A46" s="274" t="s">
        <v>134</v>
      </c>
      <c r="B46" s="193"/>
      <c r="C46" s="193"/>
      <c r="D46" s="193"/>
      <c r="E46" s="193"/>
      <c r="F46" s="275"/>
      <c r="G46" s="276"/>
      <c r="H46" s="193"/>
      <c r="I46" s="193"/>
      <c r="J46" s="193"/>
      <c r="K46" s="193"/>
      <c r="L46" s="243" t="s">
        <v>196</v>
      </c>
      <c r="M46" s="230"/>
      <c r="N46" s="245" t="s">
        <v>197</v>
      </c>
      <c r="O46" s="229"/>
      <c r="P46" s="229"/>
      <c r="Q46" s="229"/>
      <c r="R46" s="229"/>
      <c r="S46" s="232"/>
    </row>
    <row r="47" spans="1:19" ht="20.25" customHeight="1">
      <c r="A47" s="195"/>
      <c r="B47" s="196"/>
      <c r="C47" s="196"/>
      <c r="D47" s="196"/>
      <c r="E47" s="196"/>
      <c r="F47" s="203"/>
      <c r="G47" s="277"/>
      <c r="H47" s="196"/>
      <c r="I47" s="196"/>
      <c r="J47" s="196"/>
      <c r="K47" s="196"/>
      <c r="L47" s="249">
        <v>23</v>
      </c>
      <c r="M47" s="254" t="s">
        <v>199</v>
      </c>
      <c r="N47" s="217"/>
      <c r="O47" s="217"/>
      <c r="P47" s="217"/>
      <c r="Q47" s="253"/>
      <c r="R47" s="263" t="e">
        <f>ROUND(E44+R44+E45+R45,2)</f>
        <v>#VALUE!</v>
      </c>
      <c r="S47" s="227"/>
    </row>
    <row r="48" spans="1:19" ht="20.25" customHeight="1">
      <c r="A48" s="278" t="s">
        <v>200</v>
      </c>
      <c r="B48" s="207"/>
      <c r="C48" s="207"/>
      <c r="D48" s="207"/>
      <c r="E48" s="207"/>
      <c r="F48" s="208"/>
      <c r="G48" s="279" t="s">
        <v>201</v>
      </c>
      <c r="H48" s="207"/>
      <c r="I48" s="207"/>
      <c r="J48" s="207"/>
      <c r="K48" s="207"/>
      <c r="L48" s="249">
        <v>24</v>
      </c>
      <c r="M48" s="280">
        <v>9</v>
      </c>
      <c r="N48" s="208" t="s">
        <v>9</v>
      </c>
      <c r="O48" s="281" t="e">
        <f>R47-O49</f>
        <v>#VALUE!</v>
      </c>
      <c r="P48" s="217" t="s">
        <v>8</v>
      </c>
      <c r="Q48" s="215"/>
      <c r="R48" s="282" t="e">
        <f>ROUNDUP(O48*M48/100,2)</f>
        <v>#VALUE!</v>
      </c>
      <c r="S48" s="283"/>
    </row>
    <row r="49" spans="1:19" ht="20.25" customHeight="1" thickBot="1">
      <c r="A49" s="284" t="s">
        <v>133</v>
      </c>
      <c r="B49" s="198"/>
      <c r="C49" s="198"/>
      <c r="D49" s="198"/>
      <c r="E49" s="198"/>
      <c r="F49" s="199"/>
      <c r="G49" s="285"/>
      <c r="H49" s="198"/>
      <c r="I49" s="198"/>
      <c r="J49" s="198"/>
      <c r="K49" s="198"/>
      <c r="L49" s="249">
        <v>25</v>
      </c>
      <c r="M49" s="286">
        <v>19</v>
      </c>
      <c r="N49" s="215" t="s">
        <v>9</v>
      </c>
      <c r="O49" s="281" t="e">
        <f>SUMIF('[2]Rozpocet'!N14:N65536,M49,'[2]Rozpocet'!I14:I65536)+SUMIF(P38:P42,M49,R38:R42)+IF(K45=M49,J45,0)</f>
        <v>#VALUE!</v>
      </c>
      <c r="P49" s="217" t="s">
        <v>8</v>
      </c>
      <c r="Q49" s="215"/>
      <c r="R49" s="252" t="e">
        <f>ROUNDUP(O49*M49/100,2)</f>
        <v>#VALUE!</v>
      </c>
      <c r="S49" s="253"/>
    </row>
    <row r="50" spans="1:19" ht="20.25" customHeight="1" thickBot="1">
      <c r="A50" s="195"/>
      <c r="B50" s="196"/>
      <c r="C50" s="196"/>
      <c r="D50" s="196"/>
      <c r="E50" s="196"/>
      <c r="F50" s="203"/>
      <c r="G50" s="277"/>
      <c r="H50" s="196"/>
      <c r="I50" s="196"/>
      <c r="J50" s="196"/>
      <c r="K50" s="196"/>
      <c r="L50" s="267">
        <v>26</v>
      </c>
      <c r="M50" s="287" t="s">
        <v>206</v>
      </c>
      <c r="N50" s="269"/>
      <c r="O50" s="269"/>
      <c r="P50" s="269"/>
      <c r="Q50" s="288"/>
      <c r="R50" s="289" t="e">
        <f>R47+R48+R49</f>
        <v>#VALUE!</v>
      </c>
      <c r="S50" s="290"/>
    </row>
    <row r="51" spans="1:19" ht="20.25" customHeight="1">
      <c r="A51" s="278" t="s">
        <v>200</v>
      </c>
      <c r="B51" s="207"/>
      <c r="C51" s="207"/>
      <c r="D51" s="207"/>
      <c r="E51" s="207"/>
      <c r="F51" s="208"/>
      <c r="G51" s="279" t="s">
        <v>201</v>
      </c>
      <c r="H51" s="207"/>
      <c r="I51" s="207"/>
      <c r="J51" s="207"/>
      <c r="K51" s="207"/>
      <c r="L51" s="243" t="s">
        <v>207</v>
      </c>
      <c r="M51" s="230"/>
      <c r="N51" s="245" t="s">
        <v>208</v>
      </c>
      <c r="O51" s="229"/>
      <c r="P51" s="229"/>
      <c r="Q51" s="229"/>
      <c r="R51" s="291"/>
      <c r="S51" s="232"/>
    </row>
    <row r="52" spans="1:19" ht="20.25" customHeight="1">
      <c r="A52" s="284" t="s">
        <v>135</v>
      </c>
      <c r="B52" s="198"/>
      <c r="C52" s="198"/>
      <c r="D52" s="198"/>
      <c r="E52" s="198"/>
      <c r="F52" s="199"/>
      <c r="G52" s="285"/>
      <c r="H52" s="198"/>
      <c r="I52" s="198"/>
      <c r="J52" s="198"/>
      <c r="K52" s="198"/>
      <c r="L52" s="249">
        <v>27</v>
      </c>
      <c r="M52" s="254" t="s">
        <v>210</v>
      </c>
      <c r="N52" s="217"/>
      <c r="O52" s="217"/>
      <c r="P52" s="217"/>
      <c r="Q52" s="215"/>
      <c r="R52" s="252">
        <v>0</v>
      </c>
      <c r="S52" s="253"/>
    </row>
    <row r="53" spans="1:19" ht="20.25" customHeight="1">
      <c r="A53" s="195"/>
      <c r="B53" s="196"/>
      <c r="C53" s="196"/>
      <c r="D53" s="196"/>
      <c r="E53" s="196"/>
      <c r="F53" s="203"/>
      <c r="G53" s="277"/>
      <c r="H53" s="196"/>
      <c r="I53" s="196"/>
      <c r="J53" s="196"/>
      <c r="K53" s="196"/>
      <c r="L53" s="249">
        <v>28</v>
      </c>
      <c r="M53" s="254" t="s">
        <v>212</v>
      </c>
      <c r="N53" s="217"/>
      <c r="O53" s="217"/>
      <c r="P53" s="217"/>
      <c r="Q53" s="215"/>
      <c r="R53" s="252">
        <v>0</v>
      </c>
      <c r="S53" s="253"/>
    </row>
    <row r="54" spans="1:19" ht="20.25" customHeight="1">
      <c r="A54" s="292" t="s">
        <v>200</v>
      </c>
      <c r="B54" s="222"/>
      <c r="C54" s="222"/>
      <c r="D54" s="222"/>
      <c r="E54" s="222"/>
      <c r="F54" s="293"/>
      <c r="G54" s="294" t="s">
        <v>201</v>
      </c>
      <c r="H54" s="222"/>
      <c r="I54" s="222"/>
      <c r="J54" s="222"/>
      <c r="K54" s="222"/>
      <c r="L54" s="267">
        <v>29</v>
      </c>
      <c r="M54" s="268" t="s">
        <v>214</v>
      </c>
      <c r="N54" s="269"/>
      <c r="O54" s="269"/>
      <c r="P54" s="269"/>
      <c r="Q54" s="270"/>
      <c r="R54" s="236">
        <v>0</v>
      </c>
      <c r="S54" s="295"/>
    </row>
  </sheetData>
  <sheetProtection/>
  <printOptions/>
  <pageMargins left="0.24" right="0.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84" customWidth="1"/>
    <col min="2" max="2" width="55.7109375" style="184" customWidth="1"/>
    <col min="3" max="3" width="13.57421875" style="184" customWidth="1"/>
    <col min="4" max="4" width="13.7109375" style="184" hidden="1" customWidth="1"/>
    <col min="5" max="5" width="13.8515625" style="184" hidden="1" customWidth="1"/>
    <col min="6" max="16384" width="9.140625" style="184" customWidth="1"/>
  </cols>
  <sheetData>
    <row r="1" spans="1:5" ht="18" customHeight="1">
      <c r="A1" s="296" t="s">
        <v>224</v>
      </c>
      <c r="B1" s="297"/>
      <c r="C1" s="297"/>
      <c r="D1" s="297"/>
      <c r="E1" s="297"/>
    </row>
    <row r="2" spans="1:5" ht="12" customHeight="1">
      <c r="A2" s="298" t="s">
        <v>72</v>
      </c>
      <c r="B2" s="299" t="str">
        <f>'[2]Krycí list'!E5</f>
        <v>Propojení kanalizace Nová Bělá - Hrabová</v>
      </c>
      <c r="C2" s="300"/>
      <c r="D2" s="300"/>
      <c r="E2" s="300"/>
    </row>
    <row r="3" spans="1:5" ht="12" customHeight="1">
      <c r="A3" s="298" t="s">
        <v>225</v>
      </c>
      <c r="B3" s="299" t="str">
        <f>'[2]Krycí list'!E7</f>
        <v>SO 01 Stoka RA</v>
      </c>
      <c r="C3" s="301"/>
      <c r="D3" s="299"/>
      <c r="E3" s="302"/>
    </row>
    <row r="4" spans="1:5" ht="12" customHeight="1">
      <c r="A4" s="298" t="s">
        <v>226</v>
      </c>
      <c r="B4" s="299" t="str">
        <f>'[2]Krycí list'!E9</f>
        <v>SO 01 Stoka RA DN 300</v>
      </c>
      <c r="C4" s="301"/>
      <c r="D4" s="299"/>
      <c r="E4" s="302"/>
    </row>
    <row r="5" spans="1:5" ht="12" customHeight="1">
      <c r="A5" s="299" t="s">
        <v>227</v>
      </c>
      <c r="B5" s="299" t="str">
        <f>'[2]Krycí list'!P5</f>
        <v> </v>
      </c>
      <c r="C5" s="301"/>
      <c r="D5" s="299"/>
      <c r="E5" s="302"/>
    </row>
    <row r="6" spans="1:5" ht="6" customHeight="1">
      <c r="A6" s="299"/>
      <c r="B6" s="299"/>
      <c r="C6" s="301"/>
      <c r="D6" s="299"/>
      <c r="E6" s="302"/>
    </row>
    <row r="7" spans="1:5" ht="12" customHeight="1">
      <c r="A7" s="299" t="s">
        <v>11</v>
      </c>
      <c r="B7" s="299" t="str">
        <f>'[2]Krycí list'!E26</f>
        <v> </v>
      </c>
      <c r="C7" s="301"/>
      <c r="D7" s="299"/>
      <c r="E7" s="302"/>
    </row>
    <row r="8" spans="1:5" ht="12" customHeight="1">
      <c r="A8" s="299" t="s">
        <v>12</v>
      </c>
      <c r="B8" s="299" t="str">
        <f>'[2]Krycí list'!E28</f>
        <v> </v>
      </c>
      <c r="C8" s="301"/>
      <c r="D8" s="299"/>
      <c r="E8" s="302"/>
    </row>
    <row r="9" spans="1:5" ht="12" customHeight="1">
      <c r="A9" s="299" t="s">
        <v>73</v>
      </c>
      <c r="B9" s="299" t="s">
        <v>74</v>
      </c>
      <c r="C9" s="301"/>
      <c r="D9" s="299"/>
      <c r="E9" s="302"/>
    </row>
    <row r="10" spans="1:5" ht="6" customHeight="1">
      <c r="A10" s="297"/>
      <c r="B10" s="297"/>
      <c r="C10" s="297"/>
      <c r="D10" s="297"/>
      <c r="E10" s="297"/>
    </row>
    <row r="11" spans="1:5" ht="12" customHeight="1">
      <c r="A11" s="303" t="s">
        <v>75</v>
      </c>
      <c r="B11" s="304" t="s">
        <v>228</v>
      </c>
      <c r="C11" s="305" t="s">
        <v>229</v>
      </c>
      <c r="D11" s="306" t="s">
        <v>230</v>
      </c>
      <c r="E11" s="305" t="s">
        <v>231</v>
      </c>
    </row>
    <row r="12" spans="1:5" ht="12" customHeight="1">
      <c r="A12" s="307">
        <v>1</v>
      </c>
      <c r="B12" s="308">
        <v>2</v>
      </c>
      <c r="C12" s="309">
        <v>3</v>
      </c>
      <c r="D12" s="310">
        <v>4</v>
      </c>
      <c r="E12" s="309">
        <v>5</v>
      </c>
    </row>
    <row r="13" spans="1:5" ht="3.75" customHeight="1">
      <c r="A13" s="311"/>
      <c r="B13" s="312"/>
      <c r="C13" s="312"/>
      <c r="D13" s="312"/>
      <c r="E13" s="313"/>
    </row>
    <row r="14" spans="1:5" s="318" customFormat="1" ht="12.75" customHeight="1">
      <c r="A14" s="314" t="str">
        <f>'[2]Rozpocet'!D14</f>
        <v>HSV</v>
      </c>
      <c r="B14" s="315" t="str">
        <f>'[2]Rozpocet'!E14</f>
        <v>Práce a dodávky HSV</v>
      </c>
      <c r="C14" s="316">
        <f>'[2]Rozpocet'!I14</f>
        <v>10594780.9</v>
      </c>
      <c r="D14" s="317">
        <f>'[2]Rozpocet'!K14</f>
        <v>2795.7327189199996</v>
      </c>
      <c r="E14" s="317">
        <f>'[2]Rozpocet'!M14</f>
        <v>1077.738816</v>
      </c>
    </row>
    <row r="15" spans="1:5" s="318" customFormat="1" ht="12.75" customHeight="1">
      <c r="A15" s="319" t="str">
        <f>'[2]Rozpocet'!D15</f>
        <v>1</v>
      </c>
      <c r="B15" s="320" t="str">
        <f>'[2]Rozpocet'!E15</f>
        <v>Zemní práce</v>
      </c>
      <c r="C15" s="321">
        <f>'[2]Rozpocet'!I15</f>
        <v>4771301.989999999</v>
      </c>
      <c r="D15" s="322">
        <f>'[2]Rozpocet'!K15</f>
        <v>2593.17566078</v>
      </c>
      <c r="E15" s="322">
        <f>'[2]Rozpocet'!M15</f>
        <v>1077.738816</v>
      </c>
    </row>
    <row r="16" spans="1:5" s="318" customFormat="1" ht="12.75" customHeight="1">
      <c r="A16" s="319" t="str">
        <f>'[2]Rozpocet'!D36</f>
        <v>2</v>
      </c>
      <c r="B16" s="320" t="str">
        <f>'[2]Rozpocet'!E36</f>
        <v>Zakládání</v>
      </c>
      <c r="C16" s="321">
        <f>'[2]Rozpocet'!I36</f>
        <v>127419.08</v>
      </c>
      <c r="D16" s="322">
        <f>'[2]Rozpocet'!K36</f>
        <v>145.8588747</v>
      </c>
      <c r="E16" s="322">
        <f>'[2]Rozpocet'!M36</f>
        <v>0</v>
      </c>
    </row>
    <row r="17" spans="1:5" s="318" customFormat="1" ht="12.75" customHeight="1">
      <c r="A17" s="319" t="str">
        <f>'[2]Rozpocet'!D39</f>
        <v>4</v>
      </c>
      <c r="B17" s="320" t="str">
        <f>'[2]Rozpocet'!E39</f>
        <v>Vodorovné konstrukce</v>
      </c>
      <c r="C17" s="321">
        <f>'[2]Rozpocet'!I39</f>
        <v>399668.03</v>
      </c>
      <c r="D17" s="322">
        <f>'[2]Rozpocet'!K39</f>
        <v>1.09845572</v>
      </c>
      <c r="E17" s="322">
        <f>'[2]Rozpocet'!M39</f>
        <v>0</v>
      </c>
    </row>
    <row r="18" spans="1:5" s="318" customFormat="1" ht="12.75" customHeight="1">
      <c r="A18" s="319" t="str">
        <f>'[2]Rozpocet'!D43</f>
        <v>5</v>
      </c>
      <c r="B18" s="320" t="str">
        <f>'[2]Rozpocet'!E43</f>
        <v>Komunikace</v>
      </c>
      <c r="C18" s="321">
        <f>'[2]Rozpocet'!I43</f>
        <v>1213574.6700000002</v>
      </c>
      <c r="D18" s="322">
        <f>'[2]Rozpocet'!K43</f>
        <v>4.4740079999999995</v>
      </c>
      <c r="E18" s="322">
        <f>'[2]Rozpocet'!M43</f>
        <v>0</v>
      </c>
    </row>
    <row r="19" spans="1:5" s="318" customFormat="1" ht="12.75" customHeight="1">
      <c r="A19" s="319" t="str">
        <f>'[2]Rozpocet'!D49</f>
        <v>8</v>
      </c>
      <c r="B19" s="320" t="str">
        <f>'[2]Rozpocet'!E49</f>
        <v>Trubní vedení</v>
      </c>
      <c r="C19" s="321">
        <f>'[2]Rozpocet'!I49</f>
        <v>3044404.92</v>
      </c>
      <c r="D19" s="322">
        <f>'[2]Rozpocet'!K49</f>
        <v>51.12571972</v>
      </c>
      <c r="E19" s="322">
        <f>'[2]Rozpocet'!M49</f>
        <v>0</v>
      </c>
    </row>
    <row r="20" spans="1:5" s="318" customFormat="1" ht="12.75" customHeight="1">
      <c r="A20" s="319" t="str">
        <f>'[2]Rozpocet'!D68</f>
        <v>9</v>
      </c>
      <c r="B20" s="320" t="str">
        <f>'[2]Rozpocet'!E68</f>
        <v>Ostatní konstrukce a práce-bourání</v>
      </c>
      <c r="C20" s="321">
        <f>'[2]Rozpocet'!I68</f>
        <v>596686.3999999999</v>
      </c>
      <c r="D20" s="322">
        <f>'[2]Rozpocet'!K68</f>
        <v>0</v>
      </c>
      <c r="E20" s="322">
        <f>'[2]Rozpocet'!M68</f>
        <v>0</v>
      </c>
    </row>
    <row r="21" spans="1:5" s="318" customFormat="1" ht="12.75" customHeight="1">
      <c r="A21" s="319" t="str">
        <f>'[2]Rozpocet'!D73</f>
        <v>99</v>
      </c>
      <c r="B21" s="320" t="str">
        <f>'[2]Rozpocet'!E73</f>
        <v>Přesun hmot</v>
      </c>
      <c r="C21" s="321">
        <f>'[2]Rozpocet'!I73</f>
        <v>441725.81</v>
      </c>
      <c r="D21" s="322">
        <f>'[2]Rozpocet'!K73</f>
        <v>0</v>
      </c>
      <c r="E21" s="322">
        <f>'[2]Rozpocet'!M73</f>
        <v>0</v>
      </c>
    </row>
    <row r="22" spans="1:5" s="318" customFormat="1" ht="12.75" customHeight="1">
      <c r="A22" s="314" t="str">
        <f>'[2]Rozpocet'!D75</f>
        <v>M</v>
      </c>
      <c r="B22" s="315" t="str">
        <f>'[2]Rozpocet'!E75</f>
        <v>Práce a dodávky M</v>
      </c>
      <c r="C22" s="316">
        <f>'[2]Rozpocet'!I75</f>
        <v>82280.15</v>
      </c>
      <c r="D22" s="317">
        <f>'[2]Rozpocet'!K75</f>
        <v>0</v>
      </c>
      <c r="E22" s="317">
        <f>'[2]Rozpocet'!M75</f>
        <v>0</v>
      </c>
    </row>
    <row r="23" spans="1:5" s="318" customFormat="1" ht="12.75" customHeight="1">
      <c r="A23" s="319" t="str">
        <f>'[2]Rozpocet'!D76</f>
        <v>23-M</v>
      </c>
      <c r="B23" s="320" t="str">
        <f>'[2]Rozpocet'!E76</f>
        <v>Montáže potrubí</v>
      </c>
      <c r="C23" s="321">
        <f>'[2]Rozpocet'!I76</f>
        <v>82280.15</v>
      </c>
      <c r="D23" s="322">
        <f>'[2]Rozpocet'!K76</f>
        <v>0</v>
      </c>
      <c r="E23" s="322">
        <f>'[2]Rozpocet'!M76</f>
        <v>0</v>
      </c>
    </row>
    <row r="24" spans="2:5" s="323" customFormat="1" ht="12.75" customHeight="1">
      <c r="B24" s="324" t="s">
        <v>124</v>
      </c>
      <c r="C24" s="325">
        <f>'[2]Rozpocet'!I79</f>
        <v>10677061.05</v>
      </c>
      <c r="D24" s="326">
        <f>'[2]Rozpocet'!K79</f>
        <v>2795.7327189199996</v>
      </c>
      <c r="E24" s="326">
        <f>'[2]Rozpocet'!M79</f>
        <v>1077.738816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Darja Klozová</cp:lastModifiedBy>
  <cp:lastPrinted>2013-03-27T11:40:20Z</cp:lastPrinted>
  <dcterms:created xsi:type="dcterms:W3CDTF">2010-04-15T10:04:40Z</dcterms:created>
  <dcterms:modified xsi:type="dcterms:W3CDTF">2013-07-25T12:34:33Z</dcterms:modified>
  <cp:category/>
  <cp:version/>
  <cp:contentType/>
  <cp:contentStatus/>
</cp:coreProperties>
</file>